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ES-EFIGENIA\Desktop\INFORME PRESUPUESTAL 2023\"/>
    </mc:Choice>
  </mc:AlternateContent>
  <xr:revisionPtr revIDLastSave="0" documentId="13_ncr:1_{3831A2D2-DFDD-45C1-9E2E-B61E65E3DC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CTUBRE 2023" sheetId="33" r:id="rId1"/>
  </sheets>
  <externalReferences>
    <externalReference r:id="rId2"/>
  </externalReferences>
  <definedNames>
    <definedName name="_xlnm.Print_Area" localSheetId="0">'OCTUBRE 2023'!$A$4:$T$175</definedName>
    <definedName name="_xlnm.Print_Titles" localSheetId="0">'OCTUBRE 2023'!$6:$12</definedName>
  </definedNames>
  <calcPr calcId="181029"/>
</workbook>
</file>

<file path=xl/calcChain.xml><?xml version="1.0" encoding="utf-8"?>
<calcChain xmlns="http://schemas.openxmlformats.org/spreadsheetml/2006/main">
  <c r="S153" i="33" l="1"/>
  <c r="S152" i="33"/>
  <c r="S151" i="33"/>
  <c r="T150" i="33"/>
  <c r="R150" i="33"/>
  <c r="Q150" i="33"/>
  <c r="P150" i="33"/>
  <c r="O150" i="33"/>
  <c r="N150" i="33"/>
  <c r="M150" i="33"/>
  <c r="L150" i="33"/>
  <c r="K150" i="33"/>
  <c r="J150" i="33"/>
  <c r="I150" i="33"/>
  <c r="H150" i="33"/>
  <c r="G150" i="33"/>
  <c r="S149" i="33"/>
  <c r="I148" i="33"/>
  <c r="S147" i="33"/>
  <c r="R146" i="33"/>
  <c r="Q146" i="33"/>
  <c r="P146" i="33"/>
  <c r="O146" i="33"/>
  <c r="N146" i="33"/>
  <c r="M146" i="33"/>
  <c r="L146" i="33"/>
  <c r="K146" i="33"/>
  <c r="J146" i="33"/>
  <c r="J139" i="33" s="1"/>
  <c r="J138" i="33" s="1"/>
  <c r="H146" i="33"/>
  <c r="G146" i="33"/>
  <c r="T145" i="33"/>
  <c r="T138" i="33" s="1"/>
  <c r="S145" i="33"/>
  <c r="S144" i="33"/>
  <c r="S143" i="33"/>
  <c r="S142" i="33"/>
  <c r="S141" i="33"/>
  <c r="R140" i="33"/>
  <c r="S140" i="33" s="1"/>
  <c r="G139" i="33"/>
  <c r="Q138" i="33"/>
  <c r="P138" i="33"/>
  <c r="O138" i="33"/>
  <c r="N138" i="33"/>
  <c r="M138" i="33"/>
  <c r="L138" i="33"/>
  <c r="K138" i="33"/>
  <c r="H138" i="33"/>
  <c r="G138" i="33"/>
  <c r="S136" i="33"/>
  <c r="S135" i="33"/>
  <c r="R134" i="33"/>
  <c r="Q134" i="33"/>
  <c r="O134" i="33"/>
  <c r="N134" i="33"/>
  <c r="S133" i="33"/>
  <c r="T133" i="33" s="1"/>
  <c r="R132" i="33"/>
  <c r="Q132" i="33"/>
  <c r="Q129" i="33" s="1"/>
  <c r="L132" i="33"/>
  <c r="L129" i="33" s="1"/>
  <c r="K132" i="33"/>
  <c r="I132" i="33"/>
  <c r="O131" i="33"/>
  <c r="N131" i="33"/>
  <c r="K131" i="33"/>
  <c r="K129" i="33" s="1"/>
  <c r="J131" i="33"/>
  <c r="J129" i="33" s="1"/>
  <c r="I131" i="33"/>
  <c r="S130" i="33"/>
  <c r="P129" i="33"/>
  <c r="M129" i="33"/>
  <c r="H129" i="33"/>
  <c r="G129" i="33"/>
  <c r="S127" i="33"/>
  <c r="T127" i="33" s="1"/>
  <c r="T126" i="33" s="1"/>
  <c r="T125" i="33" s="1"/>
  <c r="R126" i="33"/>
  <c r="Q126" i="33"/>
  <c r="P126" i="33"/>
  <c r="P125" i="33" s="1"/>
  <c r="O126" i="33"/>
  <c r="O125" i="33" s="1"/>
  <c r="N126" i="33"/>
  <c r="N125" i="33" s="1"/>
  <c r="M126" i="33"/>
  <c r="M125" i="33" s="1"/>
  <c r="L126" i="33"/>
  <c r="L125" i="33" s="1"/>
  <c r="K126" i="33"/>
  <c r="K125" i="33" s="1"/>
  <c r="J126" i="33"/>
  <c r="J125" i="33" s="1"/>
  <c r="I126" i="33"/>
  <c r="I125" i="33" s="1"/>
  <c r="H126" i="33"/>
  <c r="H125" i="33" s="1"/>
  <c r="G126" i="33"/>
  <c r="G125" i="33" s="1"/>
  <c r="R125" i="33"/>
  <c r="Q125" i="33"/>
  <c r="S123" i="33"/>
  <c r="T123" i="33" s="1"/>
  <c r="S122" i="33"/>
  <c r="S121" i="33"/>
  <c r="T121" i="33" s="1"/>
  <c r="S120" i="33"/>
  <c r="T120" i="33" s="1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S117" i="33"/>
  <c r="S116" i="33" s="1"/>
  <c r="T116" i="33"/>
  <c r="R116" i="33"/>
  <c r="Q116" i="33"/>
  <c r="P116" i="33"/>
  <c r="O116" i="33"/>
  <c r="N116" i="33"/>
  <c r="M116" i="33"/>
  <c r="L116" i="33"/>
  <c r="K116" i="33"/>
  <c r="J116" i="33"/>
  <c r="I116" i="33"/>
  <c r="S114" i="33"/>
  <c r="S113" i="33"/>
  <c r="S112" i="33" s="1"/>
  <c r="G113" i="33"/>
  <c r="G112" i="33" s="1"/>
  <c r="T112" i="33"/>
  <c r="J112" i="33"/>
  <c r="I112" i="33"/>
  <c r="R109" i="33"/>
  <c r="Q109" i="33"/>
  <c r="Q107" i="33" s="1"/>
  <c r="P109" i="33"/>
  <c r="P107" i="33" s="1"/>
  <c r="O109" i="33"/>
  <c r="N109" i="33"/>
  <c r="N107" i="33" s="1"/>
  <c r="M109" i="33"/>
  <c r="M107" i="33" s="1"/>
  <c r="L109" i="33"/>
  <c r="L107" i="33" s="1"/>
  <c r="K109" i="33"/>
  <c r="K107" i="33" s="1"/>
  <c r="J109" i="33"/>
  <c r="J107" i="33" s="1"/>
  <c r="I109" i="33"/>
  <c r="I107" i="33" s="1"/>
  <c r="S108" i="33"/>
  <c r="O107" i="33"/>
  <c r="H107" i="33"/>
  <c r="G107" i="33"/>
  <c r="R105" i="33"/>
  <c r="R100" i="33" s="1"/>
  <c r="R92" i="33" s="1"/>
  <c r="Q105" i="33"/>
  <c r="Q100" i="33" s="1"/>
  <c r="Q92" i="33" s="1"/>
  <c r="P105" i="33"/>
  <c r="P100" i="33" s="1"/>
  <c r="P92" i="33" s="1"/>
  <c r="O105" i="33"/>
  <c r="O100" i="33" s="1"/>
  <c r="O92" i="33" s="1"/>
  <c r="N105" i="33"/>
  <c r="N100" i="33" s="1"/>
  <c r="M105" i="33"/>
  <c r="M100" i="33" s="1"/>
  <c r="L105" i="33"/>
  <c r="L100" i="33" s="1"/>
  <c r="K105" i="33"/>
  <c r="K100" i="33" s="1"/>
  <c r="J105" i="33"/>
  <c r="J100" i="33" s="1"/>
  <c r="I105" i="33"/>
  <c r="H105" i="33"/>
  <c r="H100" i="33" s="1"/>
  <c r="S104" i="33"/>
  <c r="T104" i="33" s="1"/>
  <c r="I103" i="33"/>
  <c r="S103" i="33" s="1"/>
  <c r="T103" i="33" s="1"/>
  <c r="S102" i="33"/>
  <c r="T102" i="33" s="1"/>
  <c r="S101" i="33"/>
  <c r="G100" i="33"/>
  <c r="G92" i="33" s="1"/>
  <c r="S99" i="33"/>
  <c r="S98" i="33"/>
  <c r="S97" i="33"/>
  <c r="T97" i="33" s="1"/>
  <c r="H97" i="33"/>
  <c r="H96" i="33" s="1"/>
  <c r="N96" i="33"/>
  <c r="M96" i="33"/>
  <c r="L96" i="33"/>
  <c r="K96" i="33"/>
  <c r="J96" i="33"/>
  <c r="I96" i="33"/>
  <c r="G96" i="33"/>
  <c r="S94" i="33"/>
  <c r="S93" i="33"/>
  <c r="T93" i="33" s="1"/>
  <c r="S91" i="33"/>
  <c r="R90" i="33"/>
  <c r="R84" i="33" s="1"/>
  <c r="Q90" i="33"/>
  <c r="P90" i="33"/>
  <c r="S89" i="33"/>
  <c r="T89" i="33" s="1"/>
  <c r="I88" i="33"/>
  <c r="J87" i="33"/>
  <c r="S87" i="33" s="1"/>
  <c r="S86" i="33"/>
  <c r="T86" i="33" s="1"/>
  <c r="N85" i="33"/>
  <c r="M85" i="33"/>
  <c r="L85" i="33"/>
  <c r="K85" i="33"/>
  <c r="H85" i="33"/>
  <c r="H84" i="33" s="1"/>
  <c r="G85" i="33"/>
  <c r="G84" i="33" s="1"/>
  <c r="Q84" i="33"/>
  <c r="P84" i="33"/>
  <c r="O84" i="33"/>
  <c r="N84" i="33"/>
  <c r="M84" i="33"/>
  <c r="L84" i="33"/>
  <c r="K84" i="33"/>
  <c r="S82" i="33"/>
  <c r="S81" i="33"/>
  <c r="S80" i="33"/>
  <c r="R79" i="33"/>
  <c r="Q79" i="33"/>
  <c r="P79" i="33"/>
  <c r="O79" i="33"/>
  <c r="N79" i="33"/>
  <c r="M79" i="33"/>
  <c r="L79" i="33"/>
  <c r="K79" i="33"/>
  <c r="J79" i="33"/>
  <c r="I79" i="33"/>
  <c r="H79" i="33"/>
  <c r="G79" i="33"/>
  <c r="S76" i="33"/>
  <c r="T76" i="33" s="1"/>
  <c r="S75" i="33"/>
  <c r="T75" i="33" s="1"/>
  <c r="S74" i="33"/>
  <c r="R73" i="33"/>
  <c r="Q73" i="33"/>
  <c r="P73" i="33"/>
  <c r="O73" i="33"/>
  <c r="N73" i="33"/>
  <c r="M73" i="33"/>
  <c r="L73" i="33"/>
  <c r="K73" i="33"/>
  <c r="J73" i="33"/>
  <c r="I73" i="33"/>
  <c r="H73" i="33"/>
  <c r="G73" i="33"/>
  <c r="R71" i="33"/>
  <c r="R70" i="33" s="1"/>
  <c r="Q71" i="33"/>
  <c r="P71" i="33"/>
  <c r="O71" i="33"/>
  <c r="N71" i="33"/>
  <c r="M71" i="33"/>
  <c r="L71" i="33"/>
  <c r="K71" i="33"/>
  <c r="J71" i="33"/>
  <c r="I71" i="33"/>
  <c r="H70" i="33"/>
  <c r="G70" i="33"/>
  <c r="T69" i="33"/>
  <c r="S68" i="33"/>
  <c r="T68" i="33" s="1"/>
  <c r="O67" i="33"/>
  <c r="N67" i="33"/>
  <c r="N66" i="33" s="1"/>
  <c r="M67" i="33"/>
  <c r="M66" i="33" s="1"/>
  <c r="K67" i="33"/>
  <c r="J67" i="33"/>
  <c r="J66" i="33" s="1"/>
  <c r="I67" i="33"/>
  <c r="I66" i="33" s="1"/>
  <c r="R66" i="33"/>
  <c r="Q66" i="33"/>
  <c r="P66" i="33"/>
  <c r="O66" i="33"/>
  <c r="L66" i="33"/>
  <c r="K66" i="33"/>
  <c r="H66" i="33"/>
  <c r="G66" i="33"/>
  <c r="T65" i="33"/>
  <c r="S64" i="33"/>
  <c r="T64" i="33" s="1"/>
  <c r="Q63" i="33"/>
  <c r="Q62" i="33" s="1"/>
  <c r="P63" i="33"/>
  <c r="P62" i="33" s="1"/>
  <c r="O63" i="33"/>
  <c r="O62" i="33" s="1"/>
  <c r="N63" i="33"/>
  <c r="M63" i="33"/>
  <c r="M62" i="33" s="1"/>
  <c r="L63" i="33"/>
  <c r="L62" i="33" s="1"/>
  <c r="K63" i="33"/>
  <c r="K62" i="33" s="1"/>
  <c r="J63" i="33"/>
  <c r="J62" i="33" s="1"/>
  <c r="I63" i="33"/>
  <c r="R62" i="33"/>
  <c r="N62" i="33"/>
  <c r="H62" i="33"/>
  <c r="G62" i="33"/>
  <c r="R60" i="33"/>
  <c r="Q60" i="33"/>
  <c r="Q58" i="33" s="1"/>
  <c r="M60" i="33"/>
  <c r="M58" i="33" s="1"/>
  <c r="S59" i="33"/>
  <c r="P58" i="33"/>
  <c r="O58" i="33"/>
  <c r="N58" i="33"/>
  <c r="L58" i="33"/>
  <c r="K58" i="33"/>
  <c r="J58" i="33"/>
  <c r="I58" i="33"/>
  <c r="H58" i="33"/>
  <c r="G58" i="33"/>
  <c r="S56" i="33"/>
  <c r="R55" i="33"/>
  <c r="Q55" i="33"/>
  <c r="P55" i="33"/>
  <c r="O55" i="33"/>
  <c r="N55" i="33"/>
  <c r="M55" i="33"/>
  <c r="L55" i="33"/>
  <c r="K55" i="33"/>
  <c r="J55" i="33"/>
  <c r="I55" i="33"/>
  <c r="H55" i="33"/>
  <c r="H50" i="33" s="1"/>
  <c r="G55" i="33"/>
  <c r="G50" i="33" s="1"/>
  <c r="K53" i="33"/>
  <c r="S53" i="33" s="1"/>
  <c r="T53" i="33" s="1"/>
  <c r="S52" i="33"/>
  <c r="R51" i="33"/>
  <c r="Q51" i="33"/>
  <c r="P51" i="33"/>
  <c r="O51" i="33"/>
  <c r="N51" i="33"/>
  <c r="M51" i="33"/>
  <c r="L51" i="33"/>
  <c r="K51" i="33"/>
  <c r="J51" i="33"/>
  <c r="I51" i="33"/>
  <c r="S48" i="33"/>
  <c r="S47" i="33"/>
  <c r="T47" i="33" s="1"/>
  <c r="S46" i="33"/>
  <c r="T46" i="33" s="1"/>
  <c r="N45" i="33"/>
  <c r="J45" i="33"/>
  <c r="J44" i="33" s="1"/>
  <c r="R44" i="33"/>
  <c r="Q44" i="33"/>
  <c r="P44" i="33"/>
  <c r="O44" i="33"/>
  <c r="M44" i="33"/>
  <c r="L44" i="33"/>
  <c r="K44" i="33"/>
  <c r="I44" i="33"/>
  <c r="H44" i="33"/>
  <c r="G44" i="33"/>
  <c r="S43" i="33"/>
  <c r="I42" i="33"/>
  <c r="I41" i="33"/>
  <c r="S41" i="33" s="1"/>
  <c r="Q40" i="33"/>
  <c r="P40" i="33"/>
  <c r="O40" i="33"/>
  <c r="N40" i="33"/>
  <c r="M40" i="33"/>
  <c r="L40" i="33"/>
  <c r="K40" i="33"/>
  <c r="J40" i="33"/>
  <c r="G40" i="33"/>
  <c r="S38" i="33"/>
  <c r="S37" i="33"/>
  <c r="S36" i="33"/>
  <c r="T36" i="33" s="1"/>
  <c r="T33" i="33" s="1"/>
  <c r="T32" i="33" s="1"/>
  <c r="S35" i="33"/>
  <c r="S34" i="33"/>
  <c r="R33" i="33"/>
  <c r="R32" i="33" s="1"/>
  <c r="Q33" i="33"/>
  <c r="Q32" i="33" s="1"/>
  <c r="P33" i="33"/>
  <c r="P32" i="33" s="1"/>
  <c r="O33" i="33"/>
  <c r="N33" i="33"/>
  <c r="N32" i="33" s="1"/>
  <c r="M33" i="33"/>
  <c r="M32" i="33" s="1"/>
  <c r="L33" i="33"/>
  <c r="L32" i="33" s="1"/>
  <c r="K33" i="33"/>
  <c r="K32" i="33" s="1"/>
  <c r="J33" i="33"/>
  <c r="J32" i="33" s="1"/>
  <c r="I33" i="33"/>
  <c r="I32" i="33" s="1"/>
  <c r="H33" i="33"/>
  <c r="H32" i="33" s="1"/>
  <c r="G33" i="33"/>
  <c r="G32" i="33" s="1"/>
  <c r="O32" i="33"/>
  <c r="S30" i="33"/>
  <c r="S29" i="33"/>
  <c r="S28" i="33"/>
  <c r="S27" i="33"/>
  <c r="T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S25" i="33"/>
  <c r="S24" i="33"/>
  <c r="T24" i="33" s="1"/>
  <c r="T23" i="33" s="1"/>
  <c r="R23" i="33"/>
  <c r="Q23" i="33"/>
  <c r="P23" i="33"/>
  <c r="O23" i="33"/>
  <c r="N23" i="33"/>
  <c r="M23" i="33"/>
  <c r="L23" i="33"/>
  <c r="K23" i="33"/>
  <c r="J23" i="33"/>
  <c r="I23" i="33"/>
  <c r="H23" i="33"/>
  <c r="G23" i="33"/>
  <c r="S22" i="33"/>
  <c r="I21" i="33"/>
  <c r="S20" i="33"/>
  <c r="Q19" i="33"/>
  <c r="Q18" i="33" s="1"/>
  <c r="P19" i="33"/>
  <c r="P18" i="33" s="1"/>
  <c r="O19" i="33"/>
  <c r="O18" i="33" s="1"/>
  <c r="N19" i="33"/>
  <c r="M19" i="33"/>
  <c r="M18" i="33" s="1"/>
  <c r="L19" i="33"/>
  <c r="L18" i="33" s="1"/>
  <c r="K19" i="33"/>
  <c r="K18" i="33" s="1"/>
  <c r="J19" i="33"/>
  <c r="J18" i="33" s="1"/>
  <c r="I19" i="33"/>
  <c r="R18" i="33"/>
  <c r="H18" i="33"/>
  <c r="G18" i="33"/>
  <c r="S16" i="33"/>
  <c r="S15" i="33" s="1"/>
  <c r="R15" i="33"/>
  <c r="Q15" i="33"/>
  <c r="P15" i="33"/>
  <c r="O15" i="33"/>
  <c r="N15" i="33"/>
  <c r="M15" i="33"/>
  <c r="L15" i="33"/>
  <c r="K15" i="33"/>
  <c r="J15" i="33"/>
  <c r="I15" i="33"/>
  <c r="H15" i="33"/>
  <c r="G15" i="33"/>
  <c r="A5" i="33"/>
  <c r="P137" i="33" l="1"/>
  <c r="J50" i="33"/>
  <c r="N50" i="33"/>
  <c r="R50" i="33"/>
  <c r="O50" i="33"/>
  <c r="P14" i="33"/>
  <c r="P13" i="33" s="1"/>
  <c r="I129" i="33"/>
  <c r="H92" i="33"/>
  <c r="H49" i="33" s="1"/>
  <c r="S63" i="33"/>
  <c r="S62" i="33" s="1"/>
  <c r="N70" i="33"/>
  <c r="M92" i="33"/>
  <c r="S126" i="33"/>
  <c r="S125" i="33" s="1"/>
  <c r="R129" i="33"/>
  <c r="N129" i="33"/>
  <c r="K92" i="33"/>
  <c r="H137" i="33"/>
  <c r="H111" i="33" s="1"/>
  <c r="L14" i="33"/>
  <c r="L13" i="33" s="1"/>
  <c r="T16" i="33"/>
  <c r="T15" i="33" s="1"/>
  <c r="S26" i="33"/>
  <c r="L50" i="33"/>
  <c r="P50" i="33"/>
  <c r="K70" i="33"/>
  <c r="O70" i="33"/>
  <c r="S73" i="33"/>
  <c r="L137" i="33"/>
  <c r="L111" i="33" s="1"/>
  <c r="S45" i="33"/>
  <c r="M14" i="33"/>
  <c r="M13" i="33" s="1"/>
  <c r="Q14" i="33"/>
  <c r="Q13" i="33" s="1"/>
  <c r="H14" i="33"/>
  <c r="H13" i="33" s="1"/>
  <c r="M50" i="33"/>
  <c r="Q50" i="33"/>
  <c r="I100" i="33"/>
  <c r="I92" i="33" s="1"/>
  <c r="S150" i="33"/>
  <c r="T45" i="33"/>
  <c r="T44" i="33" s="1"/>
  <c r="S44" i="33"/>
  <c r="S19" i="33"/>
  <c r="T19" i="33" s="1"/>
  <c r="L92" i="33"/>
  <c r="N44" i="33"/>
  <c r="K50" i="33"/>
  <c r="K49" i="33" s="1"/>
  <c r="L70" i="33"/>
  <c r="N18" i="33"/>
  <c r="N14" i="33" s="1"/>
  <c r="I70" i="33"/>
  <c r="M70" i="33"/>
  <c r="Q70" i="33"/>
  <c r="S90" i="33"/>
  <c r="T90" i="33" s="1"/>
  <c r="S105" i="33"/>
  <c r="T105" i="33" s="1"/>
  <c r="S132" i="33"/>
  <c r="T132" i="33" s="1"/>
  <c r="O129" i="33"/>
  <c r="M137" i="33"/>
  <c r="M111" i="33" s="1"/>
  <c r="Q137" i="33"/>
  <c r="Q111" i="33" s="1"/>
  <c r="J137" i="33"/>
  <c r="J111" i="33" s="1"/>
  <c r="G137" i="33"/>
  <c r="G111" i="33" s="1"/>
  <c r="K137" i="33"/>
  <c r="K111" i="33" s="1"/>
  <c r="O137" i="33"/>
  <c r="I62" i="33"/>
  <c r="S33" i="33"/>
  <c r="S32" i="33" s="1"/>
  <c r="S51" i="33"/>
  <c r="T51" i="33" s="1"/>
  <c r="P70" i="33"/>
  <c r="S109" i="33"/>
  <c r="T109" i="33" s="1"/>
  <c r="G14" i="33"/>
  <c r="G13" i="33" s="1"/>
  <c r="K14" i="33"/>
  <c r="K13" i="33" s="1"/>
  <c r="O14" i="33"/>
  <c r="O13" i="33" s="1"/>
  <c r="S23" i="33"/>
  <c r="I50" i="33"/>
  <c r="S67" i="33"/>
  <c r="S66" i="33" s="1"/>
  <c r="T66" i="33" s="1"/>
  <c r="S71" i="33"/>
  <c r="T71" i="33" s="1"/>
  <c r="J92" i="33"/>
  <c r="N92" i="33"/>
  <c r="N137" i="33"/>
  <c r="N111" i="33" s="1"/>
  <c r="R138" i="33"/>
  <c r="R137" i="33" s="1"/>
  <c r="T67" i="33"/>
  <c r="I40" i="33"/>
  <c r="S42" i="33"/>
  <c r="T42" i="33" s="1"/>
  <c r="G49" i="33"/>
  <c r="I85" i="33"/>
  <c r="J88" i="33"/>
  <c r="I84" i="33"/>
  <c r="T119" i="33"/>
  <c r="P111" i="33"/>
  <c r="S79" i="33"/>
  <c r="T81" i="33"/>
  <c r="S96" i="33"/>
  <c r="T98" i="33"/>
  <c r="T96" i="33" s="1"/>
  <c r="S60" i="33"/>
  <c r="T60" i="33" s="1"/>
  <c r="R58" i="33"/>
  <c r="J70" i="33"/>
  <c r="S131" i="33"/>
  <c r="T131" i="33" s="1"/>
  <c r="S134" i="33"/>
  <c r="T134" i="33" s="1"/>
  <c r="I18" i="33"/>
  <c r="I14" i="33" s="1"/>
  <c r="I13" i="33" s="1"/>
  <c r="S21" i="33"/>
  <c r="T21" i="33" s="1"/>
  <c r="T41" i="33"/>
  <c r="T87" i="33"/>
  <c r="I146" i="33"/>
  <c r="I139" i="33" s="1"/>
  <c r="S148" i="33"/>
  <c r="J14" i="33"/>
  <c r="J13" i="33" s="1"/>
  <c r="R14" i="33"/>
  <c r="R13" i="33" s="1"/>
  <c r="S55" i="33"/>
  <c r="S50" i="33" s="1"/>
  <c r="T56" i="33"/>
  <c r="T55" i="33" s="1"/>
  <c r="T59" i="33"/>
  <c r="R107" i="33"/>
  <c r="S119" i="33"/>
  <c r="T74" i="33"/>
  <c r="T73" i="33" s="1"/>
  <c r="T80" i="33"/>
  <c r="T101" i="33"/>
  <c r="T108" i="33"/>
  <c r="T130" i="33"/>
  <c r="O49" i="33" l="1"/>
  <c r="L49" i="33"/>
  <c r="L155" i="33" s="1"/>
  <c r="M49" i="33"/>
  <c r="M155" i="33" s="1"/>
  <c r="N49" i="33"/>
  <c r="P49" i="33"/>
  <c r="P155" i="33" s="1"/>
  <c r="S70" i="33"/>
  <c r="S40" i="33"/>
  <c r="T63" i="33"/>
  <c r="T62" i="33" s="1"/>
  <c r="N13" i="33"/>
  <c r="R111" i="33"/>
  <c r="H155" i="33"/>
  <c r="T100" i="33"/>
  <c r="T92" i="33" s="1"/>
  <c r="Q49" i="33"/>
  <c r="Q155" i="33" s="1"/>
  <c r="T70" i="33"/>
  <c r="O111" i="33"/>
  <c r="O155" i="33" s="1"/>
  <c r="S107" i="33"/>
  <c r="T58" i="33"/>
  <c r="T107" i="33"/>
  <c r="I49" i="33"/>
  <c r="K155" i="33"/>
  <c r="G155" i="33"/>
  <c r="S100" i="33"/>
  <c r="S92" i="33" s="1"/>
  <c r="R49" i="33"/>
  <c r="T40" i="33"/>
  <c r="T129" i="33"/>
  <c r="S139" i="33"/>
  <c r="I138" i="33"/>
  <c r="I137" i="33" s="1"/>
  <c r="I111" i="33" s="1"/>
  <c r="I155" i="33" s="1"/>
  <c r="J84" i="33"/>
  <c r="J49" i="33" s="1"/>
  <c r="J85" i="33"/>
  <c r="S88" i="33"/>
  <c r="T50" i="33"/>
  <c r="S18" i="33"/>
  <c r="S14" i="33" s="1"/>
  <c r="S13" i="33" s="1"/>
  <c r="T148" i="33"/>
  <c r="T146" i="33" s="1"/>
  <c r="S146" i="33"/>
  <c r="S129" i="33"/>
  <c r="S58" i="33"/>
  <c r="T79" i="33"/>
  <c r="T18" i="33"/>
  <c r="T14" i="33" s="1"/>
  <c r="T13" i="33" s="1"/>
  <c r="N155" i="33" l="1"/>
  <c r="R155" i="33"/>
  <c r="J155" i="33"/>
  <c r="S138" i="33"/>
  <c r="S137" i="33" s="1"/>
  <c r="S111" i="33" s="1"/>
  <c r="T139" i="33"/>
  <c r="T137" i="33" s="1"/>
  <c r="T111" i="33" s="1"/>
  <c r="T88" i="33"/>
  <c r="S85" i="33"/>
  <c r="S84" i="33"/>
  <c r="S49" i="33" s="1"/>
  <c r="T85" i="33" l="1"/>
  <c r="T84" i="33"/>
  <c r="T49" i="33" s="1"/>
  <c r="T155" i="33" s="1"/>
  <c r="S155" i="33"/>
</calcChain>
</file>

<file path=xl/sharedStrings.xml><?xml version="1.0" encoding="utf-8"?>
<sst xmlns="http://schemas.openxmlformats.org/spreadsheetml/2006/main" count="159" uniqueCount="140">
  <si>
    <t>(Valores en RD$)</t>
  </si>
  <si>
    <t>Clasificación Presupuestaria</t>
  </si>
  <si>
    <t xml:space="preserve">Presupuesto 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</si>
  <si>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</si>
  <si>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</si>
  <si>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</si>
  <si>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</si>
  <si>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</si>
  <si>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</si>
  <si>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</si>
  <si>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</si>
  <si>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</si>
  <si>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</si>
  <si>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</si>
  <si>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</si>
  <si>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</si>
  <si>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</si>
  <si>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</si>
  <si>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</si>
  <si>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</si>
  <si>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</si>
  <si>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</si>
  <si>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</si>
  <si>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</si>
  <si>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</si>
  <si>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</si>
  <si>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</si>
  <si>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</si>
  <si>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</si>
  <si>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</si>
  <si>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</si>
  <si>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</si>
  <si>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</si>
  <si>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</si>
  <si>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</si>
  <si>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</si>
  <si>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</si>
  <si>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</si>
  <si>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</si>
  <si>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</si>
  <si>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</si>
  <si>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</si>
  <si>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</si>
  <si>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</si>
  <si>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</si>
  <si>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</si>
  <si>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</si>
  <si>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</si>
  <si>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</si>
  <si>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</si>
  <si>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</si>
  <si>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</si>
  <si>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</si>
  <si>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</si>
  <si>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</si>
  <si>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</si>
  <si>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</si>
  <si>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</si>
  <si>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</si>
  <si>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</si>
  <si>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</si>
  <si>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</si>
  <si>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</si>
  <si>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</si>
  <si>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</si>
  <si>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</si>
  <si>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</si>
  <si>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</si>
  <si>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</si>
  <si>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</si>
  <si>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</si>
  <si>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</si>
  <si>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</si>
  <si>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</si>
  <si>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</si>
  <si>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</si>
  <si>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</si>
  <si>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</si>
  <si>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</si>
  <si>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</si>
  <si>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</si>
  <si>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</si>
  <si>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</si>
  <si>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</si>
  <si>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</si>
  <si>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</si>
  <si>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</si>
  <si>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</si>
  <si>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</si>
  <si>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</si>
  <si>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</si>
  <si>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</si>
  <si>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</si>
  <si>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</si>
  <si>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</si>
  <si>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</si>
  <si>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</si>
  <si>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</si>
  <si>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</si>
  <si>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</si>
  <si>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</si>
  <si>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</si>
  <si>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</si>
  <si>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</si>
  <si>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</si>
  <si>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</si>
  <si>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</si>
  <si>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</si>
  <si>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</si>
  <si>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</si>
  <si>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</si>
  <si>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</si>
  <si>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</si>
  <si>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</si>
  <si>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</si>
  <si>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>Presupuesto por ejecutar</t>
  </si>
  <si>
    <t xml:space="preserve"> </t>
  </si>
  <si>
    <t xml:space="preserve">Encargada de Presupuesto </t>
  </si>
  <si>
    <t>Efigenia Acevedo</t>
  </si>
  <si>
    <t>Bienes Intagibles</t>
  </si>
  <si>
    <t>Presupuestados al 31 de octubre 2023</t>
  </si>
  <si>
    <t>Presupuesto Ene-Dic.2023</t>
  </si>
  <si>
    <t>Presupuesto Complemantario 2023</t>
  </si>
  <si>
    <t>Ejecut. Enero,  2023</t>
  </si>
  <si>
    <t>Ejecut. Febrero,  2023</t>
  </si>
  <si>
    <t>Ejecut. Marzo,  2023</t>
  </si>
  <si>
    <t>Ejecut. Abril,  2023</t>
  </si>
  <si>
    <t>Ejecut. Mayo,  2023</t>
  </si>
  <si>
    <t>Ejecut. Junio,  2023</t>
  </si>
  <si>
    <t>Ejecut. Julio,  2023</t>
  </si>
  <si>
    <t>Ejecut. Agosto,  2023</t>
  </si>
  <si>
    <t>Ejecut. Septiembre,  2023</t>
  </si>
  <si>
    <t>Ejecut. octubre,  2023</t>
  </si>
  <si>
    <t>TOTAL</t>
  </si>
  <si>
    <t>Servicios especiales de mantenimiento y reparación</t>
  </si>
  <si>
    <t xml:space="preserve">Licencias Informaticas Intelectuales, Industriales </t>
  </si>
  <si>
    <t>Lic. Jóse Ventura</t>
  </si>
  <si>
    <t>Director Administrativo Financiero</t>
  </si>
  <si>
    <t>Rafael Toribio</t>
  </si>
  <si>
    <t>Presidente 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</si>
</sst>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i/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B0F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rgb="FFFF0000"/>
      <name val="Cambria"/>
      <family val="1"/>
      <scheme val="major"/>
    </font>
    <font>
      <sz val="8"/>
      <name val="Calibri"/>
      <family val="2"/>
      <scheme val="minor"/>
    </font>
    <font>
      <b/>
      <sz val="16"/>
      <name val="Cambria"/>
      <family val="1"/>
      <scheme val="major"/>
    </font>
    <font>
      <sz val="11"/>
      <color theme="1"/>
      <name val="Cambria "/>
    </font>
    <font>
      <b/>
      <sz val="11"/>
      <color theme="1"/>
      <name val="Cambria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/>
    <xf numFmtId="41" fontId="0" fillId="0" borderId="0" xfId="0" applyNumberFormat="1"/>
    <xf numFmtId="0" fontId="0" fillId="2" borderId="0" xfId="0" applyFill="1"/>
    <xf numFmtId="0" fontId="1" fillId="0" borderId="0" xfId="0" applyFont="1"/>
    <xf numFmtId="0" fontId="3" fillId="0" borderId="0" xfId="0" applyFont="1"/>
    <xf numFmtId="43" fontId="0" fillId="0" borderId="0" xfId="0" applyNumberFormat="1"/>
    <xf numFmtId="1" fontId="0" fillId="2" borderId="0" xfId="0" applyNumberFormat="1" applyFill="1"/>
    <xf numFmtId="0" fontId="6" fillId="0" borderId="0" xfId="0" applyFont="1"/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/>
    <xf numFmtId="0" fontId="5" fillId="0" borderId="3" xfId="0" applyFont="1" applyBorder="1" applyAlignment="1">
      <alignment horizontal="center" wrapText="1"/>
    </xf>
    <xf numFmtId="1" fontId="5" fillId="2" borderId="5" xfId="0" applyNumberFormat="1" applyFont="1" applyFill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1" fontId="5" fillId="0" borderId="12" xfId="0" applyNumberFormat="1" applyFont="1" applyBorder="1"/>
    <xf numFmtId="164" fontId="5" fillId="2" borderId="12" xfId="1" applyNumberFormat="1" applyFont="1" applyFill="1" applyBorder="1"/>
    <xf numFmtId="41" fontId="5" fillId="0" borderId="5" xfId="0" applyNumberFormat="1" applyFont="1" applyBorder="1"/>
    <xf numFmtId="164" fontId="5" fillId="2" borderId="5" xfId="1" applyNumberFormat="1" applyFont="1" applyFill="1" applyBorder="1"/>
    <xf numFmtId="41" fontId="8" fillId="0" borderId="5" xfId="0" applyNumberFormat="1" applyFont="1" applyBorder="1"/>
    <xf numFmtId="164" fontId="8" fillId="2" borderId="5" xfId="1" applyNumberFormat="1" applyFont="1" applyFill="1" applyBorder="1"/>
    <xf numFmtId="41" fontId="5" fillId="0" borderId="6" xfId="0" applyNumberFormat="1" applyFont="1" applyBorder="1"/>
    <xf numFmtId="164" fontId="5" fillId="2" borderId="6" xfId="1" applyNumberFormat="1" applyFont="1" applyFill="1" applyBorder="1"/>
    <xf numFmtId="41" fontId="6" fillId="0" borderId="6" xfId="0" applyNumberFormat="1" applyFont="1" applyBorder="1"/>
    <xf numFmtId="164" fontId="6" fillId="2" borderId="6" xfId="1" applyNumberFormat="1" applyFont="1" applyFill="1" applyBorder="1"/>
    <xf numFmtId="41" fontId="6" fillId="0" borderId="0" xfId="0" applyNumberFormat="1" applyFont="1"/>
    <xf numFmtId="0" fontId="8" fillId="0" borderId="9" xfId="0" applyFont="1" applyBorder="1"/>
    <xf numFmtId="41" fontId="8" fillId="0" borderId="8" xfId="0" applyNumberFormat="1" applyFont="1" applyBorder="1"/>
    <xf numFmtId="41" fontId="8" fillId="0" borderId="6" xfId="0" applyNumberFormat="1" applyFont="1" applyBorder="1"/>
    <xf numFmtId="164" fontId="8" fillId="2" borderId="6" xfId="1" applyNumberFormat="1" applyFont="1" applyFill="1" applyBorder="1"/>
    <xf numFmtId="164" fontId="8" fillId="2" borderId="8" xfId="1" applyNumberFormat="1" applyFont="1" applyFill="1" applyBorder="1"/>
    <xf numFmtId="41" fontId="8" fillId="0" borderId="12" xfId="0" applyNumberFormat="1" applyFont="1" applyBorder="1"/>
    <xf numFmtId="164" fontId="5" fillId="2" borderId="8" xfId="1" applyNumberFormat="1" applyFont="1" applyFill="1" applyBorder="1"/>
    <xf numFmtId="164" fontId="8" fillId="2" borderId="12" xfId="1" applyNumberFormat="1" applyFont="1" applyFill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1" fontId="5" fillId="0" borderId="8" xfId="0" applyNumberFormat="1" applyFont="1" applyBorder="1"/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2" xfId="0" applyFont="1" applyBorder="1"/>
    <xf numFmtId="0" fontId="6" fillId="0" borderId="0" xfId="0" applyFont="1" applyAlignment="1">
      <alignment horizontal="center"/>
    </xf>
    <xf numFmtId="1" fontId="6" fillId="2" borderId="0" xfId="0" applyNumberFormat="1" applyFont="1" applyFill="1"/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1" fontId="5" fillId="0" borderId="10" xfId="0" applyNumberFormat="1" applyFont="1" applyBorder="1"/>
    <xf numFmtId="41" fontId="9" fillId="0" borderId="6" xfId="0" applyNumberFormat="1" applyFont="1" applyBorder="1"/>
    <xf numFmtId="0" fontId="10" fillId="0" borderId="0" xfId="0" applyFont="1"/>
    <xf numFmtId="0" fontId="5" fillId="0" borderId="5" xfId="0" applyFont="1" applyBorder="1" applyAlignment="1">
      <alignment horizontal="left"/>
    </xf>
    <xf numFmtId="164" fontId="5" fillId="2" borderId="16" xfId="1" applyNumberFormat="1" applyFont="1" applyFill="1" applyBorder="1"/>
    <xf numFmtId="164" fontId="5" fillId="2" borderId="9" xfId="1" applyNumberFormat="1" applyFont="1" applyFill="1" applyBorder="1"/>
    <xf numFmtId="164" fontId="8" fillId="2" borderId="9" xfId="1" applyNumberFormat="1" applyFont="1" applyFill="1" applyBorder="1"/>
    <xf numFmtId="164" fontId="8" fillId="2" borderId="17" xfId="1" applyNumberFormat="1" applyFont="1" applyFill="1" applyBorder="1"/>
    <xf numFmtId="41" fontId="8" fillId="2" borderId="12" xfId="0" applyNumberFormat="1" applyFont="1" applyFill="1" applyBorder="1"/>
    <xf numFmtId="164" fontId="8" fillId="2" borderId="15" xfId="1" applyNumberFormat="1" applyFont="1" applyFill="1" applyBorder="1"/>
    <xf numFmtId="164" fontId="0" fillId="0" borderId="0" xfId="0" applyNumberFormat="1"/>
    <xf numFmtId="43" fontId="1" fillId="0" borderId="0" xfId="0" applyNumberFormat="1" applyFont="1"/>
    <xf numFmtId="164" fontId="2" fillId="0" borderId="0" xfId="0" applyNumberFormat="1" applyFont="1"/>
    <xf numFmtId="41" fontId="5" fillId="0" borderId="13" xfId="0" applyNumberFormat="1" applyFont="1" applyBorder="1"/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0" xfId="0" applyFont="1"/>
    <xf numFmtId="1" fontId="11" fillId="2" borderId="0" xfId="0" applyNumberFormat="1" applyFont="1" applyFill="1"/>
    <xf numFmtId="43" fontId="11" fillId="0" borderId="0" xfId="0" applyNumberFormat="1" applyFont="1"/>
    <xf numFmtId="0" fontId="11" fillId="0" borderId="0" xfId="0" applyFont="1" applyAlignment="1">
      <alignment horizontal="center"/>
    </xf>
    <xf numFmtId="41" fontId="11" fillId="0" borderId="0" xfId="0" applyNumberFormat="1" applyFont="1" applyAlignment="1">
      <alignment horizontal="center"/>
    </xf>
    <xf numFmtId="0" fontId="10" fillId="0" borderId="14" xfId="0" applyFont="1" applyBorder="1" applyAlignment="1">
      <alignment horizontal="center"/>
    </xf>
    <xf numFmtId="41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1" fontId="8" fillId="0" borderId="3" xfId="0" applyNumberFormat="1" applyFont="1" applyBorder="1"/>
    <xf numFmtId="164" fontId="8" fillId="2" borderId="0" xfId="1" applyNumberFormat="1" applyFont="1" applyFill="1" applyBorder="1"/>
    <xf numFmtId="164" fontId="5" fillId="2" borderId="14" xfId="1" applyNumberFormat="1" applyFont="1" applyFill="1" applyBorder="1"/>
    <xf numFmtId="1" fontId="11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5" fillId="2" borderId="13" xfId="1" applyNumberFormat="1" applyFont="1" applyFill="1" applyBorder="1"/>
    <xf numFmtId="43" fontId="0" fillId="0" borderId="0" xfId="1" applyFont="1"/>
    <xf numFmtId="43" fontId="11" fillId="0" borderId="0" xfId="1" applyFont="1"/>
    <xf numFmtId="164" fontId="8" fillId="2" borderId="16" xfId="1" applyNumberFormat="1" applyFont="1" applyFill="1" applyBorder="1"/>
    <xf numFmtId="43" fontId="10" fillId="0" borderId="0" xfId="1" applyFont="1" applyBorder="1" applyAlignment="1">
      <alignment horizontal="center"/>
    </xf>
    <xf numFmtId="43" fontId="0" fillId="2" borderId="0" xfId="1" applyFont="1" applyFill="1"/>
    <xf numFmtId="43" fontId="10" fillId="0" borderId="0" xfId="0" applyNumberFormat="1" applyFont="1" applyAlignment="1">
      <alignment horizontal="center"/>
    </xf>
    <xf numFmtId="4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43" fontId="10" fillId="0" borderId="0" xfId="1" applyFont="1" applyAlignment="1">
      <alignment horizontal="center"/>
    </xf>
    <xf numFmtId="43" fontId="11" fillId="0" borderId="0" xfId="1" applyFont="1" applyAlignment="1">
      <alignment horizontal="center"/>
    </xf>
    <xf numFmtId="0" fontId="8" fillId="0" borderId="9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164" fontId="8" fillId="2" borderId="14" xfId="1" applyNumberFormat="1" applyFont="1" applyFill="1" applyBorder="1"/>
    <xf numFmtId="0" fontId="5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43" fontId="6" fillId="2" borderId="0" xfId="1" applyFont="1" applyFill="1"/>
    <xf numFmtId="41" fontId="12" fillId="0" borderId="0" xfId="0" applyNumberFormat="1" applyFont="1" applyAlignment="1">
      <alignment horizontal="center"/>
    </xf>
    <xf numFmtId="41" fontId="6" fillId="0" borderId="0" xfId="0" applyNumberFormat="1" applyFont="1" applyAlignment="1">
      <alignment horizontal="center"/>
    </xf>
    <xf numFmtId="43" fontId="6" fillId="2" borderId="0" xfId="1" applyFont="1" applyFill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5" fillId="0" borderId="4" xfId="0" applyFont="1" applyBorder="1"/>
    <xf numFmtId="1" fontId="5" fillId="2" borderId="4" xfId="0" applyNumberFormat="1" applyFont="1" applyFill="1" applyBorder="1"/>
    <xf numFmtId="1" fontId="5" fillId="2" borderId="1" xfId="0" applyNumberFormat="1" applyFont="1" applyFill="1" applyBorder="1"/>
    <xf numFmtId="0" fontId="5" fillId="0" borderId="5" xfId="0" applyFont="1" applyBorder="1"/>
    <xf numFmtId="1" fontId="5" fillId="2" borderId="5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41" fontId="5" fillId="0" borderId="8" xfId="0" applyNumberFormat="1" applyFont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center"/>
    </xf>
    <xf numFmtId="164" fontId="5" fillId="2" borderId="7" xfId="1" applyNumberFormat="1" applyFont="1" applyFill="1" applyBorder="1"/>
    <xf numFmtId="41" fontId="8" fillId="2" borderId="5" xfId="0" applyNumberFormat="1" applyFont="1" applyFill="1" applyBorder="1"/>
    <xf numFmtId="164" fontId="5" fillId="2" borderId="19" xfId="1" applyNumberFormat="1" applyFont="1" applyFill="1" applyBorder="1"/>
    <xf numFmtId="164" fontId="6" fillId="2" borderId="7" xfId="1" applyNumberFormat="1" applyFont="1" applyFill="1" applyBorder="1"/>
    <xf numFmtId="164" fontId="6" fillId="0" borderId="6" xfId="1" applyNumberFormat="1" applyFont="1" applyFill="1" applyBorder="1"/>
    <xf numFmtId="164" fontId="8" fillId="2" borderId="7" xfId="1" applyNumberFormat="1" applyFont="1" applyFill="1" applyBorder="1"/>
    <xf numFmtId="164" fontId="8" fillId="2" borderId="19" xfId="1" applyNumberFormat="1" applyFont="1" applyFill="1" applyBorder="1"/>
    <xf numFmtId="164" fontId="5" fillId="2" borderId="3" xfId="1" applyNumberFormat="1" applyFont="1" applyFill="1" applyBorder="1"/>
    <xf numFmtId="164" fontId="8" fillId="2" borderId="3" xfId="1" applyNumberFormat="1" applyFont="1" applyFill="1" applyBorder="1"/>
    <xf numFmtId="164" fontId="8" fillId="2" borderId="13" xfId="1" applyNumberFormat="1" applyFont="1" applyFill="1" applyBorder="1"/>
    <xf numFmtId="164" fontId="5" fillId="2" borderId="10" xfId="1" applyNumberFormat="1" applyFont="1" applyFill="1" applyBorder="1"/>
    <xf numFmtId="164" fontId="5" fillId="2" borderId="18" xfId="1" applyNumberFormat="1" applyFont="1" applyFill="1" applyBorder="1"/>
    <xf numFmtId="164" fontId="8" fillId="0" borderId="6" xfId="1" applyNumberFormat="1" applyFont="1" applyFill="1" applyBorder="1"/>
    <xf numFmtId="164" fontId="8" fillId="0" borderId="5" xfId="1" applyNumberFormat="1" applyFont="1" applyFill="1" applyBorder="1"/>
    <xf numFmtId="41" fontId="5" fillId="2" borderId="5" xfId="0" applyNumberFormat="1" applyFont="1" applyFill="1" applyBorder="1"/>
    <xf numFmtId="41" fontId="5" fillId="0" borderId="3" xfId="0" applyNumberFormat="1" applyFont="1" applyBorder="1"/>
    <xf numFmtId="0" fontId="8" fillId="2" borderId="6" xfId="0" applyFont="1" applyFill="1" applyBorder="1" applyAlignment="1">
      <alignment wrapText="1"/>
    </xf>
    <xf numFmtId="41" fontId="8" fillId="2" borderId="6" xfId="0" applyNumberFormat="1" applyFont="1" applyFill="1" applyBorder="1"/>
    <xf numFmtId="41" fontId="8" fillId="0" borderId="7" xfId="0" applyNumberFormat="1" applyFont="1" applyBorder="1"/>
    <xf numFmtId="41" fontId="5" fillId="0" borderId="19" xfId="0" applyNumberFormat="1" applyFont="1" applyBorder="1"/>
    <xf numFmtId="164" fontId="6" fillId="2" borderId="5" xfId="1" applyNumberFormat="1" applyFont="1" applyFill="1" applyBorder="1"/>
    <xf numFmtId="164" fontId="6" fillId="2" borderId="3" xfId="1" applyNumberFormat="1" applyFont="1" applyFill="1" applyBorder="1"/>
    <xf numFmtId="164" fontId="8" fillId="2" borderId="2" xfId="1" applyNumberFormat="1" applyFont="1" applyFill="1" applyBorder="1"/>
    <xf numFmtId="164" fontId="8" fillId="0" borderId="9" xfId="1" applyNumberFormat="1" applyFont="1" applyFill="1" applyBorder="1"/>
    <xf numFmtId="41" fontId="8" fillId="0" borderId="9" xfId="0" applyNumberFormat="1" applyFont="1" applyBorder="1"/>
    <xf numFmtId="41" fontId="8" fillId="2" borderId="8" xfId="0" applyNumberFormat="1" applyFont="1" applyFill="1" applyBorder="1"/>
    <xf numFmtId="43" fontId="0" fillId="0" borderId="9" xfId="1" applyFont="1" applyBorder="1"/>
    <xf numFmtId="43" fontId="0" fillId="0" borderId="11" xfId="1" applyFont="1" applyBorder="1"/>
    <xf numFmtId="0" fontId="5" fillId="0" borderId="16" xfId="0" applyFont="1" applyBorder="1" applyAlignment="1">
      <alignment horizontal="center" wrapText="1"/>
    </xf>
    <xf numFmtId="43" fontId="6" fillId="2" borderId="0" xfId="1" applyFont="1" applyFill="1" applyBorder="1"/>
    <xf numFmtId="43" fontId="17" fillId="2" borderId="0" xfId="1" applyFont="1" applyFill="1" applyBorder="1"/>
    <xf numFmtId="43" fontId="17" fillId="0" borderId="0" xfId="0" applyNumberFormat="1" applyFont="1"/>
    <xf numFmtId="43" fontId="17" fillId="2" borderId="0" xfId="1" applyFont="1" applyFill="1" applyBorder="1" applyAlignment="1">
      <alignment horizontal="center"/>
    </xf>
    <xf numFmtId="43" fontId="17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18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43" fontId="10" fillId="0" borderId="0" xfId="0" applyNumberFormat="1" applyFont="1"/>
    <xf numFmtId="0" fontId="10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1" fillId="2" borderId="0" xfId="1" applyFont="1" applyFill="1" applyBorder="1"/>
    <xf numFmtId="43" fontId="0" fillId="0" borderId="0" xfId="1" applyFont="1" applyBorder="1"/>
    <xf numFmtId="43" fontId="11" fillId="2" borderId="0" xfId="1" applyFont="1" applyFill="1" applyAlignment="1">
      <alignment horizontal="center"/>
    </xf>
    <xf numFmtId="43" fontId="11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3" fontId="11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2AF-F17D-4737-9172-0F899A4FB40D}">
  <dimension ref="A1:AA251"/>
  <sheetViews>
    <sheetView tabSelected="1" topLeftCell="E103" workbookViewId="0">
      <selection activeCell="P180" sqref="P180"/>
    </sheetView>
  </sheetViews>
  <sheetFormatPr baseColWidth="10" defaultColWidth="11.42578125" defaultRowHeight="15"/>
  <cols>
    <col min="1" max="1" width="4.85546875" bestFit="1" customWidth="1"/>
    <col min="2" max="2" width="5.85546875" bestFit="1" customWidth="1"/>
    <col min="3" max="3" width="7.42578125" bestFit="1" customWidth="1"/>
    <col min="4" max="4" width="5.7109375" customWidth="1"/>
    <col min="5" max="5" width="4.5703125" customWidth="1"/>
    <col min="6" max="6" width="28.85546875" customWidth="1"/>
    <col min="7" max="7" width="16.7109375" customWidth="1"/>
    <col min="8" max="8" width="14.140625" customWidth="1"/>
    <col min="9" max="9" width="14.5703125" style="7" customWidth="1"/>
    <col min="10" max="10" width="13.5703125" style="7" customWidth="1"/>
    <col min="11" max="11" width="13.85546875" style="7" customWidth="1"/>
    <col min="12" max="12" width="14.5703125" style="7" customWidth="1"/>
    <col min="13" max="13" width="15" style="7" customWidth="1"/>
    <col min="14" max="14" width="15.42578125" style="7" customWidth="1"/>
    <col min="15" max="15" width="14.28515625" style="7" customWidth="1"/>
    <col min="16" max="18" width="14.7109375" style="7" customWidth="1"/>
    <col min="19" max="19" width="17.5703125" customWidth="1"/>
    <col min="20" max="20" width="2.28515625" hidden="1" customWidth="1"/>
    <col min="21" max="21" width="36.85546875" customWidth="1"/>
    <col min="22" max="22" width="3.7109375" customWidth="1"/>
    <col min="23" max="24" width="14.140625" bestFit="1" customWidth="1"/>
    <col min="25" max="25" width="19.7109375" customWidth="1"/>
    <col min="27" max="27" width="13.140625" bestFit="1" customWidth="1"/>
    <col min="231" max="231" width="4.85546875" bestFit="1" customWidth="1"/>
    <col min="232" max="232" width="5.85546875" bestFit="1" customWidth="1"/>
    <col min="233" max="233" width="7.42578125" bestFit="1" customWidth="1"/>
    <col min="234" max="234" width="8.140625" bestFit="1" customWidth="1"/>
    <col min="235" max="235" width="4.5703125" bestFit="1" customWidth="1"/>
    <col min="236" max="236" width="57.5703125" customWidth="1"/>
    <col min="237" max="237" width="14.28515625" customWidth="1"/>
    <col min="238" max="238" width="0.85546875" customWidth="1"/>
    <col min="239" max="239" width="16.5703125" bestFit="1" customWidth="1"/>
    <col min="240" max="240" width="13.42578125" bestFit="1" customWidth="1"/>
    <col min="487" max="487" width="4.85546875" bestFit="1" customWidth="1"/>
    <col min="488" max="488" width="5.85546875" bestFit="1" customWidth="1"/>
    <col min="489" max="489" width="7.42578125" bestFit="1" customWidth="1"/>
    <col min="490" max="490" width="8.140625" bestFit="1" customWidth="1"/>
    <col min="491" max="491" width="4.5703125" bestFit="1" customWidth="1"/>
    <col min="492" max="492" width="57.5703125" customWidth="1"/>
    <col min="493" max="493" width="14.28515625" customWidth="1"/>
    <col min="494" max="494" width="0.85546875" customWidth="1"/>
    <col min="495" max="495" width="16.5703125" bestFit="1" customWidth="1"/>
    <col min="496" max="496" width="13.42578125" bestFit="1" customWidth="1"/>
    <col min="743" max="743" width="4.85546875" bestFit="1" customWidth="1"/>
    <col min="744" max="744" width="5.85546875" bestFit="1" customWidth="1"/>
    <col min="745" max="745" width="7.42578125" bestFit="1" customWidth="1"/>
    <col min="746" max="746" width="8.140625" bestFit="1" customWidth="1"/>
    <col min="747" max="747" width="4.5703125" bestFit="1" customWidth="1"/>
    <col min="748" max="748" width="57.5703125" customWidth="1"/>
    <col min="749" max="749" width="14.28515625" customWidth="1"/>
    <col min="750" max="750" width="0.85546875" customWidth="1"/>
    <col min="751" max="751" width="16.5703125" bestFit="1" customWidth="1"/>
    <col min="752" max="752" width="13.42578125" bestFit="1" customWidth="1"/>
    <col min="999" max="999" width="4.85546875" bestFit="1" customWidth="1"/>
    <col min="1000" max="1000" width="5.85546875" bestFit="1" customWidth="1"/>
    <col min="1001" max="1001" width="7.42578125" bestFit="1" customWidth="1"/>
    <col min="1002" max="1002" width="8.140625" bestFit="1" customWidth="1"/>
    <col min="1003" max="1003" width="4.5703125" bestFit="1" customWidth="1"/>
    <col min="1004" max="1004" width="57.5703125" customWidth="1"/>
    <col min="1005" max="1005" width="14.28515625" customWidth="1"/>
    <col min="1006" max="1006" width="0.85546875" customWidth="1"/>
    <col min="1007" max="1007" width="16.5703125" bestFit="1" customWidth="1"/>
    <col min="1008" max="1008" width="13.42578125" bestFit="1" customWidth="1"/>
    <col min="1255" max="1255" width="4.85546875" bestFit="1" customWidth="1"/>
    <col min="1256" max="1256" width="5.85546875" bestFit="1" customWidth="1"/>
    <col min="1257" max="1257" width="7.42578125" bestFit="1" customWidth="1"/>
    <col min="1258" max="1258" width="8.140625" bestFit="1" customWidth="1"/>
    <col min="1259" max="1259" width="4.5703125" bestFit="1" customWidth="1"/>
    <col min="1260" max="1260" width="57.5703125" customWidth="1"/>
    <col min="1261" max="1261" width="14.28515625" customWidth="1"/>
    <col min="1262" max="1262" width="0.85546875" customWidth="1"/>
    <col min="1263" max="1263" width="16.5703125" bestFit="1" customWidth="1"/>
    <col min="1264" max="1264" width="13.42578125" bestFit="1" customWidth="1"/>
    <col min="1511" max="1511" width="4.85546875" bestFit="1" customWidth="1"/>
    <col min="1512" max="1512" width="5.85546875" bestFit="1" customWidth="1"/>
    <col min="1513" max="1513" width="7.42578125" bestFit="1" customWidth="1"/>
    <col min="1514" max="1514" width="8.140625" bestFit="1" customWidth="1"/>
    <col min="1515" max="1515" width="4.5703125" bestFit="1" customWidth="1"/>
    <col min="1516" max="1516" width="57.5703125" customWidth="1"/>
    <col min="1517" max="1517" width="14.28515625" customWidth="1"/>
    <col min="1518" max="1518" width="0.85546875" customWidth="1"/>
    <col min="1519" max="1519" width="16.5703125" bestFit="1" customWidth="1"/>
    <col min="1520" max="1520" width="13.42578125" bestFit="1" customWidth="1"/>
    <col min="1767" max="1767" width="4.85546875" bestFit="1" customWidth="1"/>
    <col min="1768" max="1768" width="5.85546875" bestFit="1" customWidth="1"/>
    <col min="1769" max="1769" width="7.42578125" bestFit="1" customWidth="1"/>
    <col min="1770" max="1770" width="8.140625" bestFit="1" customWidth="1"/>
    <col min="1771" max="1771" width="4.5703125" bestFit="1" customWidth="1"/>
    <col min="1772" max="1772" width="57.5703125" customWidth="1"/>
    <col min="1773" max="1773" width="14.28515625" customWidth="1"/>
    <col min="1774" max="1774" width="0.85546875" customWidth="1"/>
    <col min="1775" max="1775" width="16.5703125" bestFit="1" customWidth="1"/>
    <col min="1776" max="1776" width="13.42578125" bestFit="1" customWidth="1"/>
    <col min="2023" max="2023" width="4.85546875" bestFit="1" customWidth="1"/>
    <col min="2024" max="2024" width="5.85546875" bestFit="1" customWidth="1"/>
    <col min="2025" max="2025" width="7.42578125" bestFit="1" customWidth="1"/>
    <col min="2026" max="2026" width="8.140625" bestFit="1" customWidth="1"/>
    <col min="2027" max="2027" width="4.5703125" bestFit="1" customWidth="1"/>
    <col min="2028" max="2028" width="57.5703125" customWidth="1"/>
    <col min="2029" max="2029" width="14.28515625" customWidth="1"/>
    <col min="2030" max="2030" width="0.85546875" customWidth="1"/>
    <col min="2031" max="2031" width="16.5703125" bestFit="1" customWidth="1"/>
    <col min="2032" max="2032" width="13.42578125" bestFit="1" customWidth="1"/>
    <col min="2279" max="2279" width="4.85546875" bestFit="1" customWidth="1"/>
    <col min="2280" max="2280" width="5.85546875" bestFit="1" customWidth="1"/>
    <col min="2281" max="2281" width="7.42578125" bestFit="1" customWidth="1"/>
    <col min="2282" max="2282" width="8.140625" bestFit="1" customWidth="1"/>
    <col min="2283" max="2283" width="4.5703125" bestFit="1" customWidth="1"/>
    <col min="2284" max="2284" width="57.5703125" customWidth="1"/>
    <col min="2285" max="2285" width="14.28515625" customWidth="1"/>
    <col min="2286" max="2286" width="0.85546875" customWidth="1"/>
    <col min="2287" max="2287" width="16.5703125" bestFit="1" customWidth="1"/>
    <col min="2288" max="2288" width="13.42578125" bestFit="1" customWidth="1"/>
    <col min="2535" max="2535" width="4.85546875" bestFit="1" customWidth="1"/>
    <col min="2536" max="2536" width="5.85546875" bestFit="1" customWidth="1"/>
    <col min="2537" max="2537" width="7.42578125" bestFit="1" customWidth="1"/>
    <col min="2538" max="2538" width="8.140625" bestFit="1" customWidth="1"/>
    <col min="2539" max="2539" width="4.5703125" bestFit="1" customWidth="1"/>
    <col min="2540" max="2540" width="57.5703125" customWidth="1"/>
    <col min="2541" max="2541" width="14.28515625" customWidth="1"/>
    <col min="2542" max="2542" width="0.85546875" customWidth="1"/>
    <col min="2543" max="2543" width="16.5703125" bestFit="1" customWidth="1"/>
    <col min="2544" max="2544" width="13.42578125" bestFit="1" customWidth="1"/>
    <col min="2791" max="2791" width="4.85546875" bestFit="1" customWidth="1"/>
    <col min="2792" max="2792" width="5.85546875" bestFit="1" customWidth="1"/>
    <col min="2793" max="2793" width="7.42578125" bestFit="1" customWidth="1"/>
    <col min="2794" max="2794" width="8.140625" bestFit="1" customWidth="1"/>
    <col min="2795" max="2795" width="4.5703125" bestFit="1" customWidth="1"/>
    <col min="2796" max="2796" width="57.5703125" customWidth="1"/>
    <col min="2797" max="2797" width="14.28515625" customWidth="1"/>
    <col min="2798" max="2798" width="0.85546875" customWidth="1"/>
    <col min="2799" max="2799" width="16.5703125" bestFit="1" customWidth="1"/>
    <col min="2800" max="2800" width="13.42578125" bestFit="1" customWidth="1"/>
    <col min="3047" max="3047" width="4.85546875" bestFit="1" customWidth="1"/>
    <col min="3048" max="3048" width="5.85546875" bestFit="1" customWidth="1"/>
    <col min="3049" max="3049" width="7.42578125" bestFit="1" customWidth="1"/>
    <col min="3050" max="3050" width="8.140625" bestFit="1" customWidth="1"/>
    <col min="3051" max="3051" width="4.5703125" bestFit="1" customWidth="1"/>
    <col min="3052" max="3052" width="57.5703125" customWidth="1"/>
    <col min="3053" max="3053" width="14.28515625" customWidth="1"/>
    <col min="3054" max="3054" width="0.85546875" customWidth="1"/>
    <col min="3055" max="3055" width="16.5703125" bestFit="1" customWidth="1"/>
    <col min="3056" max="3056" width="13.42578125" bestFit="1" customWidth="1"/>
    <col min="3303" max="3303" width="4.85546875" bestFit="1" customWidth="1"/>
    <col min="3304" max="3304" width="5.85546875" bestFit="1" customWidth="1"/>
    <col min="3305" max="3305" width="7.42578125" bestFit="1" customWidth="1"/>
    <col min="3306" max="3306" width="8.140625" bestFit="1" customWidth="1"/>
    <col min="3307" max="3307" width="4.5703125" bestFit="1" customWidth="1"/>
    <col min="3308" max="3308" width="57.5703125" customWidth="1"/>
    <col min="3309" max="3309" width="14.28515625" customWidth="1"/>
    <col min="3310" max="3310" width="0.85546875" customWidth="1"/>
    <col min="3311" max="3311" width="16.5703125" bestFit="1" customWidth="1"/>
    <col min="3312" max="3312" width="13.42578125" bestFit="1" customWidth="1"/>
    <col min="3559" max="3559" width="4.85546875" bestFit="1" customWidth="1"/>
    <col min="3560" max="3560" width="5.85546875" bestFit="1" customWidth="1"/>
    <col min="3561" max="3561" width="7.42578125" bestFit="1" customWidth="1"/>
    <col min="3562" max="3562" width="8.140625" bestFit="1" customWidth="1"/>
    <col min="3563" max="3563" width="4.5703125" bestFit="1" customWidth="1"/>
    <col min="3564" max="3564" width="57.5703125" customWidth="1"/>
    <col min="3565" max="3565" width="14.28515625" customWidth="1"/>
    <col min="3566" max="3566" width="0.85546875" customWidth="1"/>
    <col min="3567" max="3567" width="16.5703125" bestFit="1" customWidth="1"/>
    <col min="3568" max="3568" width="13.42578125" bestFit="1" customWidth="1"/>
    <col min="3815" max="3815" width="4.85546875" bestFit="1" customWidth="1"/>
    <col min="3816" max="3816" width="5.85546875" bestFit="1" customWidth="1"/>
    <col min="3817" max="3817" width="7.42578125" bestFit="1" customWidth="1"/>
    <col min="3818" max="3818" width="8.140625" bestFit="1" customWidth="1"/>
    <col min="3819" max="3819" width="4.5703125" bestFit="1" customWidth="1"/>
    <col min="3820" max="3820" width="57.5703125" customWidth="1"/>
    <col min="3821" max="3821" width="14.28515625" customWidth="1"/>
    <col min="3822" max="3822" width="0.85546875" customWidth="1"/>
    <col min="3823" max="3823" width="16.5703125" bestFit="1" customWidth="1"/>
    <col min="3824" max="3824" width="13.42578125" bestFit="1" customWidth="1"/>
    <col min="4071" max="4071" width="4.85546875" bestFit="1" customWidth="1"/>
    <col min="4072" max="4072" width="5.85546875" bestFit="1" customWidth="1"/>
    <col min="4073" max="4073" width="7.42578125" bestFit="1" customWidth="1"/>
    <col min="4074" max="4074" width="8.140625" bestFit="1" customWidth="1"/>
    <col min="4075" max="4075" width="4.5703125" bestFit="1" customWidth="1"/>
    <col min="4076" max="4076" width="57.5703125" customWidth="1"/>
    <col min="4077" max="4077" width="14.28515625" customWidth="1"/>
    <col min="4078" max="4078" width="0.85546875" customWidth="1"/>
    <col min="4079" max="4079" width="16.5703125" bestFit="1" customWidth="1"/>
    <col min="4080" max="4080" width="13.42578125" bestFit="1" customWidth="1"/>
    <col min="4327" max="4327" width="4.85546875" bestFit="1" customWidth="1"/>
    <col min="4328" max="4328" width="5.85546875" bestFit="1" customWidth="1"/>
    <col min="4329" max="4329" width="7.42578125" bestFit="1" customWidth="1"/>
    <col min="4330" max="4330" width="8.140625" bestFit="1" customWidth="1"/>
    <col min="4331" max="4331" width="4.5703125" bestFit="1" customWidth="1"/>
    <col min="4332" max="4332" width="57.5703125" customWidth="1"/>
    <col min="4333" max="4333" width="14.28515625" customWidth="1"/>
    <col min="4334" max="4334" width="0.85546875" customWidth="1"/>
    <col min="4335" max="4335" width="16.5703125" bestFit="1" customWidth="1"/>
    <col min="4336" max="4336" width="13.42578125" bestFit="1" customWidth="1"/>
    <col min="4583" max="4583" width="4.85546875" bestFit="1" customWidth="1"/>
    <col min="4584" max="4584" width="5.85546875" bestFit="1" customWidth="1"/>
    <col min="4585" max="4585" width="7.42578125" bestFit="1" customWidth="1"/>
    <col min="4586" max="4586" width="8.140625" bestFit="1" customWidth="1"/>
    <col min="4587" max="4587" width="4.5703125" bestFit="1" customWidth="1"/>
    <col min="4588" max="4588" width="57.5703125" customWidth="1"/>
    <col min="4589" max="4589" width="14.28515625" customWidth="1"/>
    <col min="4590" max="4590" width="0.85546875" customWidth="1"/>
    <col min="4591" max="4591" width="16.5703125" bestFit="1" customWidth="1"/>
    <col min="4592" max="4592" width="13.42578125" bestFit="1" customWidth="1"/>
    <col min="4839" max="4839" width="4.85546875" bestFit="1" customWidth="1"/>
    <col min="4840" max="4840" width="5.85546875" bestFit="1" customWidth="1"/>
    <col min="4841" max="4841" width="7.42578125" bestFit="1" customWidth="1"/>
    <col min="4842" max="4842" width="8.140625" bestFit="1" customWidth="1"/>
    <col min="4843" max="4843" width="4.5703125" bestFit="1" customWidth="1"/>
    <col min="4844" max="4844" width="57.5703125" customWidth="1"/>
    <col min="4845" max="4845" width="14.28515625" customWidth="1"/>
    <col min="4846" max="4846" width="0.85546875" customWidth="1"/>
    <col min="4847" max="4847" width="16.5703125" bestFit="1" customWidth="1"/>
    <col min="4848" max="4848" width="13.42578125" bestFit="1" customWidth="1"/>
    <col min="5095" max="5095" width="4.85546875" bestFit="1" customWidth="1"/>
    <col min="5096" max="5096" width="5.85546875" bestFit="1" customWidth="1"/>
    <col min="5097" max="5097" width="7.42578125" bestFit="1" customWidth="1"/>
    <col min="5098" max="5098" width="8.140625" bestFit="1" customWidth="1"/>
    <col min="5099" max="5099" width="4.5703125" bestFit="1" customWidth="1"/>
    <col min="5100" max="5100" width="57.5703125" customWidth="1"/>
    <col min="5101" max="5101" width="14.28515625" customWidth="1"/>
    <col min="5102" max="5102" width="0.85546875" customWidth="1"/>
    <col min="5103" max="5103" width="16.5703125" bestFit="1" customWidth="1"/>
    <col min="5104" max="5104" width="13.42578125" bestFit="1" customWidth="1"/>
    <col min="5351" max="5351" width="4.85546875" bestFit="1" customWidth="1"/>
    <col min="5352" max="5352" width="5.85546875" bestFit="1" customWidth="1"/>
    <col min="5353" max="5353" width="7.42578125" bestFit="1" customWidth="1"/>
    <col min="5354" max="5354" width="8.140625" bestFit="1" customWidth="1"/>
    <col min="5355" max="5355" width="4.5703125" bestFit="1" customWidth="1"/>
    <col min="5356" max="5356" width="57.5703125" customWidth="1"/>
    <col min="5357" max="5357" width="14.28515625" customWidth="1"/>
    <col min="5358" max="5358" width="0.85546875" customWidth="1"/>
    <col min="5359" max="5359" width="16.5703125" bestFit="1" customWidth="1"/>
    <col min="5360" max="5360" width="13.42578125" bestFit="1" customWidth="1"/>
    <col min="5607" max="5607" width="4.85546875" bestFit="1" customWidth="1"/>
    <col min="5608" max="5608" width="5.85546875" bestFit="1" customWidth="1"/>
    <col min="5609" max="5609" width="7.42578125" bestFit="1" customWidth="1"/>
    <col min="5610" max="5610" width="8.140625" bestFit="1" customWidth="1"/>
    <col min="5611" max="5611" width="4.5703125" bestFit="1" customWidth="1"/>
    <col min="5612" max="5612" width="57.5703125" customWidth="1"/>
    <col min="5613" max="5613" width="14.28515625" customWidth="1"/>
    <col min="5614" max="5614" width="0.85546875" customWidth="1"/>
    <col min="5615" max="5615" width="16.5703125" bestFit="1" customWidth="1"/>
    <col min="5616" max="5616" width="13.42578125" bestFit="1" customWidth="1"/>
    <col min="5863" max="5863" width="4.85546875" bestFit="1" customWidth="1"/>
    <col min="5864" max="5864" width="5.85546875" bestFit="1" customWidth="1"/>
    <col min="5865" max="5865" width="7.42578125" bestFit="1" customWidth="1"/>
    <col min="5866" max="5866" width="8.140625" bestFit="1" customWidth="1"/>
    <col min="5867" max="5867" width="4.5703125" bestFit="1" customWidth="1"/>
    <col min="5868" max="5868" width="57.5703125" customWidth="1"/>
    <col min="5869" max="5869" width="14.28515625" customWidth="1"/>
    <col min="5870" max="5870" width="0.85546875" customWidth="1"/>
    <col min="5871" max="5871" width="16.5703125" bestFit="1" customWidth="1"/>
    <col min="5872" max="5872" width="13.42578125" bestFit="1" customWidth="1"/>
    <col min="6119" max="6119" width="4.85546875" bestFit="1" customWidth="1"/>
    <col min="6120" max="6120" width="5.85546875" bestFit="1" customWidth="1"/>
    <col min="6121" max="6121" width="7.42578125" bestFit="1" customWidth="1"/>
    <col min="6122" max="6122" width="8.140625" bestFit="1" customWidth="1"/>
    <col min="6123" max="6123" width="4.5703125" bestFit="1" customWidth="1"/>
    <col min="6124" max="6124" width="57.5703125" customWidth="1"/>
    <col min="6125" max="6125" width="14.28515625" customWidth="1"/>
    <col min="6126" max="6126" width="0.85546875" customWidth="1"/>
    <col min="6127" max="6127" width="16.5703125" bestFit="1" customWidth="1"/>
    <col min="6128" max="6128" width="13.42578125" bestFit="1" customWidth="1"/>
    <col min="6375" max="6375" width="4.85546875" bestFit="1" customWidth="1"/>
    <col min="6376" max="6376" width="5.85546875" bestFit="1" customWidth="1"/>
    <col min="6377" max="6377" width="7.42578125" bestFit="1" customWidth="1"/>
    <col min="6378" max="6378" width="8.140625" bestFit="1" customWidth="1"/>
    <col min="6379" max="6379" width="4.5703125" bestFit="1" customWidth="1"/>
    <col min="6380" max="6380" width="57.5703125" customWidth="1"/>
    <col min="6381" max="6381" width="14.28515625" customWidth="1"/>
    <col min="6382" max="6382" width="0.85546875" customWidth="1"/>
    <col min="6383" max="6383" width="16.5703125" bestFit="1" customWidth="1"/>
    <col min="6384" max="6384" width="13.42578125" bestFit="1" customWidth="1"/>
    <col min="6631" max="6631" width="4.85546875" bestFit="1" customWidth="1"/>
    <col min="6632" max="6632" width="5.85546875" bestFit="1" customWidth="1"/>
    <col min="6633" max="6633" width="7.42578125" bestFit="1" customWidth="1"/>
    <col min="6634" max="6634" width="8.140625" bestFit="1" customWidth="1"/>
    <col min="6635" max="6635" width="4.5703125" bestFit="1" customWidth="1"/>
    <col min="6636" max="6636" width="57.5703125" customWidth="1"/>
    <col min="6637" max="6637" width="14.28515625" customWidth="1"/>
    <col min="6638" max="6638" width="0.85546875" customWidth="1"/>
    <col min="6639" max="6639" width="16.5703125" bestFit="1" customWidth="1"/>
    <col min="6640" max="6640" width="13.42578125" bestFit="1" customWidth="1"/>
    <col min="6887" max="6887" width="4.85546875" bestFit="1" customWidth="1"/>
    <col min="6888" max="6888" width="5.85546875" bestFit="1" customWidth="1"/>
    <col min="6889" max="6889" width="7.42578125" bestFit="1" customWidth="1"/>
    <col min="6890" max="6890" width="8.140625" bestFit="1" customWidth="1"/>
    <col min="6891" max="6891" width="4.5703125" bestFit="1" customWidth="1"/>
    <col min="6892" max="6892" width="57.5703125" customWidth="1"/>
    <col min="6893" max="6893" width="14.28515625" customWidth="1"/>
    <col min="6894" max="6894" width="0.85546875" customWidth="1"/>
    <col min="6895" max="6895" width="16.5703125" bestFit="1" customWidth="1"/>
    <col min="6896" max="6896" width="13.42578125" bestFit="1" customWidth="1"/>
    <col min="7143" max="7143" width="4.85546875" bestFit="1" customWidth="1"/>
    <col min="7144" max="7144" width="5.85546875" bestFit="1" customWidth="1"/>
    <col min="7145" max="7145" width="7.42578125" bestFit="1" customWidth="1"/>
    <col min="7146" max="7146" width="8.140625" bestFit="1" customWidth="1"/>
    <col min="7147" max="7147" width="4.5703125" bestFit="1" customWidth="1"/>
    <col min="7148" max="7148" width="57.5703125" customWidth="1"/>
    <col min="7149" max="7149" width="14.28515625" customWidth="1"/>
    <col min="7150" max="7150" width="0.85546875" customWidth="1"/>
    <col min="7151" max="7151" width="16.5703125" bestFit="1" customWidth="1"/>
    <col min="7152" max="7152" width="13.42578125" bestFit="1" customWidth="1"/>
    <col min="7399" max="7399" width="4.85546875" bestFit="1" customWidth="1"/>
    <col min="7400" max="7400" width="5.85546875" bestFit="1" customWidth="1"/>
    <col min="7401" max="7401" width="7.42578125" bestFit="1" customWidth="1"/>
    <col min="7402" max="7402" width="8.140625" bestFit="1" customWidth="1"/>
    <col min="7403" max="7403" width="4.5703125" bestFit="1" customWidth="1"/>
    <col min="7404" max="7404" width="57.5703125" customWidth="1"/>
    <col min="7405" max="7405" width="14.28515625" customWidth="1"/>
    <col min="7406" max="7406" width="0.85546875" customWidth="1"/>
    <col min="7407" max="7407" width="16.5703125" bestFit="1" customWidth="1"/>
    <col min="7408" max="7408" width="13.42578125" bestFit="1" customWidth="1"/>
    <col min="7655" max="7655" width="4.85546875" bestFit="1" customWidth="1"/>
    <col min="7656" max="7656" width="5.85546875" bestFit="1" customWidth="1"/>
    <col min="7657" max="7657" width="7.42578125" bestFit="1" customWidth="1"/>
    <col min="7658" max="7658" width="8.140625" bestFit="1" customWidth="1"/>
    <col min="7659" max="7659" width="4.5703125" bestFit="1" customWidth="1"/>
    <col min="7660" max="7660" width="57.5703125" customWidth="1"/>
    <col min="7661" max="7661" width="14.28515625" customWidth="1"/>
    <col min="7662" max="7662" width="0.85546875" customWidth="1"/>
    <col min="7663" max="7663" width="16.5703125" bestFit="1" customWidth="1"/>
    <col min="7664" max="7664" width="13.42578125" bestFit="1" customWidth="1"/>
    <col min="7911" max="7911" width="4.85546875" bestFit="1" customWidth="1"/>
    <col min="7912" max="7912" width="5.85546875" bestFit="1" customWidth="1"/>
    <col min="7913" max="7913" width="7.42578125" bestFit="1" customWidth="1"/>
    <col min="7914" max="7914" width="8.140625" bestFit="1" customWidth="1"/>
    <col min="7915" max="7915" width="4.5703125" bestFit="1" customWidth="1"/>
    <col min="7916" max="7916" width="57.5703125" customWidth="1"/>
    <col min="7917" max="7917" width="14.28515625" customWidth="1"/>
    <col min="7918" max="7918" width="0.85546875" customWidth="1"/>
    <col min="7919" max="7919" width="16.5703125" bestFit="1" customWidth="1"/>
    <col min="7920" max="7920" width="13.42578125" bestFit="1" customWidth="1"/>
    <col min="8167" max="8167" width="4.85546875" bestFit="1" customWidth="1"/>
    <col min="8168" max="8168" width="5.85546875" bestFit="1" customWidth="1"/>
    <col min="8169" max="8169" width="7.42578125" bestFit="1" customWidth="1"/>
    <col min="8170" max="8170" width="8.140625" bestFit="1" customWidth="1"/>
    <col min="8171" max="8171" width="4.5703125" bestFit="1" customWidth="1"/>
    <col min="8172" max="8172" width="57.5703125" customWidth="1"/>
    <col min="8173" max="8173" width="14.28515625" customWidth="1"/>
    <col min="8174" max="8174" width="0.85546875" customWidth="1"/>
    <col min="8175" max="8175" width="16.5703125" bestFit="1" customWidth="1"/>
    <col min="8176" max="8176" width="13.42578125" bestFit="1" customWidth="1"/>
    <col min="8423" max="8423" width="4.85546875" bestFit="1" customWidth="1"/>
    <col min="8424" max="8424" width="5.85546875" bestFit="1" customWidth="1"/>
    <col min="8425" max="8425" width="7.42578125" bestFit="1" customWidth="1"/>
    <col min="8426" max="8426" width="8.140625" bestFit="1" customWidth="1"/>
    <col min="8427" max="8427" width="4.5703125" bestFit="1" customWidth="1"/>
    <col min="8428" max="8428" width="57.5703125" customWidth="1"/>
    <col min="8429" max="8429" width="14.28515625" customWidth="1"/>
    <col min="8430" max="8430" width="0.85546875" customWidth="1"/>
    <col min="8431" max="8431" width="16.5703125" bestFit="1" customWidth="1"/>
    <col min="8432" max="8432" width="13.42578125" bestFit="1" customWidth="1"/>
    <col min="8679" max="8679" width="4.85546875" bestFit="1" customWidth="1"/>
    <col min="8680" max="8680" width="5.85546875" bestFit="1" customWidth="1"/>
    <col min="8681" max="8681" width="7.42578125" bestFit="1" customWidth="1"/>
    <col min="8682" max="8682" width="8.140625" bestFit="1" customWidth="1"/>
    <col min="8683" max="8683" width="4.5703125" bestFit="1" customWidth="1"/>
    <col min="8684" max="8684" width="57.5703125" customWidth="1"/>
    <col min="8685" max="8685" width="14.28515625" customWidth="1"/>
    <col min="8686" max="8686" width="0.85546875" customWidth="1"/>
    <col min="8687" max="8687" width="16.5703125" bestFit="1" customWidth="1"/>
    <col min="8688" max="8688" width="13.42578125" bestFit="1" customWidth="1"/>
    <col min="8935" max="8935" width="4.85546875" bestFit="1" customWidth="1"/>
    <col min="8936" max="8936" width="5.85546875" bestFit="1" customWidth="1"/>
    <col min="8937" max="8937" width="7.42578125" bestFit="1" customWidth="1"/>
    <col min="8938" max="8938" width="8.140625" bestFit="1" customWidth="1"/>
    <col min="8939" max="8939" width="4.5703125" bestFit="1" customWidth="1"/>
    <col min="8940" max="8940" width="57.5703125" customWidth="1"/>
    <col min="8941" max="8941" width="14.28515625" customWidth="1"/>
    <col min="8942" max="8942" width="0.85546875" customWidth="1"/>
    <col min="8943" max="8943" width="16.5703125" bestFit="1" customWidth="1"/>
    <col min="8944" max="8944" width="13.42578125" bestFit="1" customWidth="1"/>
    <col min="9191" max="9191" width="4.85546875" bestFit="1" customWidth="1"/>
    <col min="9192" max="9192" width="5.85546875" bestFit="1" customWidth="1"/>
    <col min="9193" max="9193" width="7.42578125" bestFit="1" customWidth="1"/>
    <col min="9194" max="9194" width="8.140625" bestFit="1" customWidth="1"/>
    <col min="9195" max="9195" width="4.5703125" bestFit="1" customWidth="1"/>
    <col min="9196" max="9196" width="57.5703125" customWidth="1"/>
    <col min="9197" max="9197" width="14.28515625" customWidth="1"/>
    <col min="9198" max="9198" width="0.85546875" customWidth="1"/>
    <col min="9199" max="9199" width="16.5703125" bestFit="1" customWidth="1"/>
    <col min="9200" max="9200" width="13.42578125" bestFit="1" customWidth="1"/>
    <col min="9447" max="9447" width="4.85546875" bestFit="1" customWidth="1"/>
    <col min="9448" max="9448" width="5.85546875" bestFit="1" customWidth="1"/>
    <col min="9449" max="9449" width="7.42578125" bestFit="1" customWidth="1"/>
    <col min="9450" max="9450" width="8.140625" bestFit="1" customWidth="1"/>
    <col min="9451" max="9451" width="4.5703125" bestFit="1" customWidth="1"/>
    <col min="9452" max="9452" width="57.5703125" customWidth="1"/>
    <col min="9453" max="9453" width="14.28515625" customWidth="1"/>
    <col min="9454" max="9454" width="0.85546875" customWidth="1"/>
    <col min="9455" max="9455" width="16.5703125" bestFit="1" customWidth="1"/>
    <col min="9456" max="9456" width="13.42578125" bestFit="1" customWidth="1"/>
    <col min="9703" max="9703" width="4.85546875" bestFit="1" customWidth="1"/>
    <col min="9704" max="9704" width="5.85546875" bestFit="1" customWidth="1"/>
    <col min="9705" max="9705" width="7.42578125" bestFit="1" customWidth="1"/>
    <col min="9706" max="9706" width="8.140625" bestFit="1" customWidth="1"/>
    <col min="9707" max="9707" width="4.5703125" bestFit="1" customWidth="1"/>
    <col min="9708" max="9708" width="57.5703125" customWidth="1"/>
    <col min="9709" max="9709" width="14.28515625" customWidth="1"/>
    <col min="9710" max="9710" width="0.85546875" customWidth="1"/>
    <col min="9711" max="9711" width="16.5703125" bestFit="1" customWidth="1"/>
    <col min="9712" max="9712" width="13.42578125" bestFit="1" customWidth="1"/>
    <col min="9959" max="9959" width="4.85546875" bestFit="1" customWidth="1"/>
    <col min="9960" max="9960" width="5.85546875" bestFit="1" customWidth="1"/>
    <col min="9961" max="9961" width="7.42578125" bestFit="1" customWidth="1"/>
    <col min="9962" max="9962" width="8.140625" bestFit="1" customWidth="1"/>
    <col min="9963" max="9963" width="4.5703125" bestFit="1" customWidth="1"/>
    <col min="9964" max="9964" width="57.5703125" customWidth="1"/>
    <col min="9965" max="9965" width="14.28515625" customWidth="1"/>
    <col min="9966" max="9966" width="0.85546875" customWidth="1"/>
    <col min="9967" max="9967" width="16.5703125" bestFit="1" customWidth="1"/>
    <col min="9968" max="9968" width="13.42578125" bestFit="1" customWidth="1"/>
    <col min="10215" max="10215" width="4.85546875" bestFit="1" customWidth="1"/>
    <col min="10216" max="10216" width="5.85546875" bestFit="1" customWidth="1"/>
    <col min="10217" max="10217" width="7.42578125" bestFit="1" customWidth="1"/>
    <col min="10218" max="10218" width="8.140625" bestFit="1" customWidth="1"/>
    <col min="10219" max="10219" width="4.5703125" bestFit="1" customWidth="1"/>
    <col min="10220" max="10220" width="57.5703125" customWidth="1"/>
    <col min="10221" max="10221" width="14.28515625" customWidth="1"/>
    <col min="10222" max="10222" width="0.85546875" customWidth="1"/>
    <col min="10223" max="10223" width="16.5703125" bestFit="1" customWidth="1"/>
    <col min="10224" max="10224" width="13.42578125" bestFit="1" customWidth="1"/>
    <col min="10471" max="10471" width="4.85546875" bestFit="1" customWidth="1"/>
    <col min="10472" max="10472" width="5.85546875" bestFit="1" customWidth="1"/>
    <col min="10473" max="10473" width="7.42578125" bestFit="1" customWidth="1"/>
    <col min="10474" max="10474" width="8.140625" bestFit="1" customWidth="1"/>
    <col min="10475" max="10475" width="4.5703125" bestFit="1" customWidth="1"/>
    <col min="10476" max="10476" width="57.5703125" customWidth="1"/>
    <col min="10477" max="10477" width="14.28515625" customWidth="1"/>
    <col min="10478" max="10478" width="0.85546875" customWidth="1"/>
    <col min="10479" max="10479" width="16.5703125" bestFit="1" customWidth="1"/>
    <col min="10480" max="10480" width="13.42578125" bestFit="1" customWidth="1"/>
    <col min="10727" max="10727" width="4.85546875" bestFit="1" customWidth="1"/>
    <col min="10728" max="10728" width="5.85546875" bestFit="1" customWidth="1"/>
    <col min="10729" max="10729" width="7.42578125" bestFit="1" customWidth="1"/>
    <col min="10730" max="10730" width="8.140625" bestFit="1" customWidth="1"/>
    <col min="10731" max="10731" width="4.5703125" bestFit="1" customWidth="1"/>
    <col min="10732" max="10732" width="57.5703125" customWidth="1"/>
    <col min="10733" max="10733" width="14.28515625" customWidth="1"/>
    <col min="10734" max="10734" width="0.85546875" customWidth="1"/>
    <col min="10735" max="10735" width="16.5703125" bestFit="1" customWidth="1"/>
    <col min="10736" max="10736" width="13.42578125" bestFit="1" customWidth="1"/>
    <col min="10983" max="10983" width="4.85546875" bestFit="1" customWidth="1"/>
    <col min="10984" max="10984" width="5.85546875" bestFit="1" customWidth="1"/>
    <col min="10985" max="10985" width="7.42578125" bestFit="1" customWidth="1"/>
    <col min="10986" max="10986" width="8.140625" bestFit="1" customWidth="1"/>
    <col min="10987" max="10987" width="4.5703125" bestFit="1" customWidth="1"/>
    <col min="10988" max="10988" width="57.5703125" customWidth="1"/>
    <col min="10989" max="10989" width="14.28515625" customWidth="1"/>
    <col min="10990" max="10990" width="0.85546875" customWidth="1"/>
    <col min="10991" max="10991" width="16.5703125" bestFit="1" customWidth="1"/>
    <col min="10992" max="10992" width="13.42578125" bestFit="1" customWidth="1"/>
    <col min="11239" max="11239" width="4.85546875" bestFit="1" customWidth="1"/>
    <col min="11240" max="11240" width="5.85546875" bestFit="1" customWidth="1"/>
    <col min="11241" max="11241" width="7.42578125" bestFit="1" customWidth="1"/>
    <col min="11242" max="11242" width="8.140625" bestFit="1" customWidth="1"/>
    <col min="11243" max="11243" width="4.5703125" bestFit="1" customWidth="1"/>
    <col min="11244" max="11244" width="57.5703125" customWidth="1"/>
    <col min="11245" max="11245" width="14.28515625" customWidth="1"/>
    <col min="11246" max="11246" width="0.85546875" customWidth="1"/>
    <col min="11247" max="11247" width="16.5703125" bestFit="1" customWidth="1"/>
    <col min="11248" max="11248" width="13.42578125" bestFit="1" customWidth="1"/>
    <col min="11495" max="11495" width="4.85546875" bestFit="1" customWidth="1"/>
    <col min="11496" max="11496" width="5.85546875" bestFit="1" customWidth="1"/>
    <col min="11497" max="11497" width="7.42578125" bestFit="1" customWidth="1"/>
    <col min="11498" max="11498" width="8.140625" bestFit="1" customWidth="1"/>
    <col min="11499" max="11499" width="4.5703125" bestFit="1" customWidth="1"/>
    <col min="11500" max="11500" width="57.5703125" customWidth="1"/>
    <col min="11501" max="11501" width="14.28515625" customWidth="1"/>
    <col min="11502" max="11502" width="0.85546875" customWidth="1"/>
    <col min="11503" max="11503" width="16.5703125" bestFit="1" customWidth="1"/>
    <col min="11504" max="11504" width="13.42578125" bestFit="1" customWidth="1"/>
    <col min="11751" max="11751" width="4.85546875" bestFit="1" customWidth="1"/>
    <col min="11752" max="11752" width="5.85546875" bestFit="1" customWidth="1"/>
    <col min="11753" max="11753" width="7.42578125" bestFit="1" customWidth="1"/>
    <col min="11754" max="11754" width="8.140625" bestFit="1" customWidth="1"/>
    <col min="11755" max="11755" width="4.5703125" bestFit="1" customWidth="1"/>
    <col min="11756" max="11756" width="57.5703125" customWidth="1"/>
    <col min="11757" max="11757" width="14.28515625" customWidth="1"/>
    <col min="11758" max="11758" width="0.85546875" customWidth="1"/>
    <col min="11759" max="11759" width="16.5703125" bestFit="1" customWidth="1"/>
    <col min="11760" max="11760" width="13.42578125" bestFit="1" customWidth="1"/>
    <col min="12007" max="12007" width="4.85546875" bestFit="1" customWidth="1"/>
    <col min="12008" max="12008" width="5.85546875" bestFit="1" customWidth="1"/>
    <col min="12009" max="12009" width="7.42578125" bestFit="1" customWidth="1"/>
    <col min="12010" max="12010" width="8.140625" bestFit="1" customWidth="1"/>
    <col min="12011" max="12011" width="4.5703125" bestFit="1" customWidth="1"/>
    <col min="12012" max="12012" width="57.5703125" customWidth="1"/>
    <col min="12013" max="12013" width="14.28515625" customWidth="1"/>
    <col min="12014" max="12014" width="0.85546875" customWidth="1"/>
    <col min="12015" max="12015" width="16.5703125" bestFit="1" customWidth="1"/>
    <col min="12016" max="12016" width="13.42578125" bestFit="1" customWidth="1"/>
    <col min="12263" max="12263" width="4.85546875" bestFit="1" customWidth="1"/>
    <col min="12264" max="12264" width="5.85546875" bestFit="1" customWidth="1"/>
    <col min="12265" max="12265" width="7.42578125" bestFit="1" customWidth="1"/>
    <col min="12266" max="12266" width="8.140625" bestFit="1" customWidth="1"/>
    <col min="12267" max="12267" width="4.5703125" bestFit="1" customWidth="1"/>
    <col min="12268" max="12268" width="57.5703125" customWidth="1"/>
    <col min="12269" max="12269" width="14.28515625" customWidth="1"/>
    <col min="12270" max="12270" width="0.85546875" customWidth="1"/>
    <col min="12271" max="12271" width="16.5703125" bestFit="1" customWidth="1"/>
    <col min="12272" max="12272" width="13.42578125" bestFit="1" customWidth="1"/>
    <col min="12519" max="12519" width="4.85546875" bestFit="1" customWidth="1"/>
    <col min="12520" max="12520" width="5.85546875" bestFit="1" customWidth="1"/>
    <col min="12521" max="12521" width="7.42578125" bestFit="1" customWidth="1"/>
    <col min="12522" max="12522" width="8.140625" bestFit="1" customWidth="1"/>
    <col min="12523" max="12523" width="4.5703125" bestFit="1" customWidth="1"/>
    <col min="12524" max="12524" width="57.5703125" customWidth="1"/>
    <col min="12525" max="12525" width="14.28515625" customWidth="1"/>
    <col min="12526" max="12526" width="0.85546875" customWidth="1"/>
    <col min="12527" max="12527" width="16.5703125" bestFit="1" customWidth="1"/>
    <col min="12528" max="12528" width="13.42578125" bestFit="1" customWidth="1"/>
    <col min="12775" max="12775" width="4.85546875" bestFit="1" customWidth="1"/>
    <col min="12776" max="12776" width="5.85546875" bestFit="1" customWidth="1"/>
    <col min="12777" max="12777" width="7.42578125" bestFit="1" customWidth="1"/>
    <col min="12778" max="12778" width="8.140625" bestFit="1" customWidth="1"/>
    <col min="12779" max="12779" width="4.5703125" bestFit="1" customWidth="1"/>
    <col min="12780" max="12780" width="57.5703125" customWidth="1"/>
    <col min="12781" max="12781" width="14.28515625" customWidth="1"/>
    <col min="12782" max="12782" width="0.85546875" customWidth="1"/>
    <col min="12783" max="12783" width="16.5703125" bestFit="1" customWidth="1"/>
    <col min="12784" max="12784" width="13.42578125" bestFit="1" customWidth="1"/>
    <col min="13031" max="13031" width="4.85546875" bestFit="1" customWidth="1"/>
    <col min="13032" max="13032" width="5.85546875" bestFit="1" customWidth="1"/>
    <col min="13033" max="13033" width="7.42578125" bestFit="1" customWidth="1"/>
    <col min="13034" max="13034" width="8.140625" bestFit="1" customWidth="1"/>
    <col min="13035" max="13035" width="4.5703125" bestFit="1" customWidth="1"/>
    <col min="13036" max="13036" width="57.5703125" customWidth="1"/>
    <col min="13037" max="13037" width="14.28515625" customWidth="1"/>
    <col min="13038" max="13038" width="0.85546875" customWidth="1"/>
    <col min="13039" max="13039" width="16.5703125" bestFit="1" customWidth="1"/>
    <col min="13040" max="13040" width="13.42578125" bestFit="1" customWidth="1"/>
    <col min="13287" max="13287" width="4.85546875" bestFit="1" customWidth="1"/>
    <col min="13288" max="13288" width="5.85546875" bestFit="1" customWidth="1"/>
    <col min="13289" max="13289" width="7.42578125" bestFit="1" customWidth="1"/>
    <col min="13290" max="13290" width="8.140625" bestFit="1" customWidth="1"/>
    <col min="13291" max="13291" width="4.5703125" bestFit="1" customWidth="1"/>
    <col min="13292" max="13292" width="57.5703125" customWidth="1"/>
    <col min="13293" max="13293" width="14.28515625" customWidth="1"/>
    <col min="13294" max="13294" width="0.85546875" customWidth="1"/>
    <col min="13295" max="13295" width="16.5703125" bestFit="1" customWidth="1"/>
    <col min="13296" max="13296" width="13.42578125" bestFit="1" customWidth="1"/>
    <col min="13543" max="13543" width="4.85546875" bestFit="1" customWidth="1"/>
    <col min="13544" max="13544" width="5.85546875" bestFit="1" customWidth="1"/>
    <col min="13545" max="13545" width="7.42578125" bestFit="1" customWidth="1"/>
    <col min="13546" max="13546" width="8.140625" bestFit="1" customWidth="1"/>
    <col min="13547" max="13547" width="4.5703125" bestFit="1" customWidth="1"/>
    <col min="13548" max="13548" width="57.5703125" customWidth="1"/>
    <col min="13549" max="13549" width="14.28515625" customWidth="1"/>
    <col min="13550" max="13550" width="0.85546875" customWidth="1"/>
    <col min="13551" max="13551" width="16.5703125" bestFit="1" customWidth="1"/>
    <col min="13552" max="13552" width="13.42578125" bestFit="1" customWidth="1"/>
    <col min="13799" max="13799" width="4.85546875" bestFit="1" customWidth="1"/>
    <col min="13800" max="13800" width="5.85546875" bestFit="1" customWidth="1"/>
    <col min="13801" max="13801" width="7.42578125" bestFit="1" customWidth="1"/>
    <col min="13802" max="13802" width="8.140625" bestFit="1" customWidth="1"/>
    <col min="13803" max="13803" width="4.5703125" bestFit="1" customWidth="1"/>
    <col min="13804" max="13804" width="57.5703125" customWidth="1"/>
    <col min="13805" max="13805" width="14.28515625" customWidth="1"/>
    <col min="13806" max="13806" width="0.85546875" customWidth="1"/>
    <col min="13807" max="13807" width="16.5703125" bestFit="1" customWidth="1"/>
    <col min="13808" max="13808" width="13.42578125" bestFit="1" customWidth="1"/>
    <col min="14055" max="14055" width="4.85546875" bestFit="1" customWidth="1"/>
    <col min="14056" max="14056" width="5.85546875" bestFit="1" customWidth="1"/>
    <col min="14057" max="14057" width="7.42578125" bestFit="1" customWidth="1"/>
    <col min="14058" max="14058" width="8.140625" bestFit="1" customWidth="1"/>
    <col min="14059" max="14059" width="4.5703125" bestFit="1" customWidth="1"/>
    <col min="14060" max="14060" width="57.5703125" customWidth="1"/>
    <col min="14061" max="14061" width="14.28515625" customWidth="1"/>
    <col min="14062" max="14062" width="0.85546875" customWidth="1"/>
    <col min="14063" max="14063" width="16.5703125" bestFit="1" customWidth="1"/>
    <col min="14064" max="14064" width="13.42578125" bestFit="1" customWidth="1"/>
    <col min="14311" max="14311" width="4.85546875" bestFit="1" customWidth="1"/>
    <col min="14312" max="14312" width="5.85546875" bestFit="1" customWidth="1"/>
    <col min="14313" max="14313" width="7.42578125" bestFit="1" customWidth="1"/>
    <col min="14314" max="14314" width="8.140625" bestFit="1" customWidth="1"/>
    <col min="14315" max="14315" width="4.5703125" bestFit="1" customWidth="1"/>
    <col min="14316" max="14316" width="57.5703125" customWidth="1"/>
    <col min="14317" max="14317" width="14.28515625" customWidth="1"/>
    <col min="14318" max="14318" width="0.85546875" customWidth="1"/>
    <col min="14319" max="14319" width="16.5703125" bestFit="1" customWidth="1"/>
    <col min="14320" max="14320" width="13.42578125" bestFit="1" customWidth="1"/>
    <col min="14567" max="14567" width="4.85546875" bestFit="1" customWidth="1"/>
    <col min="14568" max="14568" width="5.85546875" bestFit="1" customWidth="1"/>
    <col min="14569" max="14569" width="7.42578125" bestFit="1" customWidth="1"/>
    <col min="14570" max="14570" width="8.140625" bestFit="1" customWidth="1"/>
    <col min="14571" max="14571" width="4.5703125" bestFit="1" customWidth="1"/>
    <col min="14572" max="14572" width="57.5703125" customWidth="1"/>
    <col min="14573" max="14573" width="14.28515625" customWidth="1"/>
    <col min="14574" max="14574" width="0.85546875" customWidth="1"/>
    <col min="14575" max="14575" width="16.5703125" bestFit="1" customWidth="1"/>
    <col min="14576" max="14576" width="13.42578125" bestFit="1" customWidth="1"/>
    <col min="14823" max="14823" width="4.85546875" bestFit="1" customWidth="1"/>
    <col min="14824" max="14824" width="5.85546875" bestFit="1" customWidth="1"/>
    <col min="14825" max="14825" width="7.42578125" bestFit="1" customWidth="1"/>
    <col min="14826" max="14826" width="8.140625" bestFit="1" customWidth="1"/>
    <col min="14827" max="14827" width="4.5703125" bestFit="1" customWidth="1"/>
    <col min="14828" max="14828" width="57.5703125" customWidth="1"/>
    <col min="14829" max="14829" width="14.28515625" customWidth="1"/>
    <col min="14830" max="14830" width="0.85546875" customWidth="1"/>
    <col min="14831" max="14831" width="16.5703125" bestFit="1" customWidth="1"/>
    <col min="14832" max="14832" width="13.42578125" bestFit="1" customWidth="1"/>
    <col min="15079" max="15079" width="4.85546875" bestFit="1" customWidth="1"/>
    <col min="15080" max="15080" width="5.85546875" bestFit="1" customWidth="1"/>
    <col min="15081" max="15081" width="7.42578125" bestFit="1" customWidth="1"/>
    <col min="15082" max="15082" width="8.140625" bestFit="1" customWidth="1"/>
    <col min="15083" max="15083" width="4.5703125" bestFit="1" customWidth="1"/>
    <col min="15084" max="15084" width="57.5703125" customWidth="1"/>
    <col min="15085" max="15085" width="14.28515625" customWidth="1"/>
    <col min="15086" max="15086" width="0.85546875" customWidth="1"/>
    <col min="15087" max="15087" width="16.5703125" bestFit="1" customWidth="1"/>
    <col min="15088" max="15088" width="13.42578125" bestFit="1" customWidth="1"/>
    <col min="15335" max="15335" width="4.85546875" bestFit="1" customWidth="1"/>
    <col min="15336" max="15336" width="5.85546875" bestFit="1" customWidth="1"/>
    <col min="15337" max="15337" width="7.42578125" bestFit="1" customWidth="1"/>
    <col min="15338" max="15338" width="8.140625" bestFit="1" customWidth="1"/>
    <col min="15339" max="15339" width="4.5703125" bestFit="1" customWidth="1"/>
    <col min="15340" max="15340" width="57.5703125" customWidth="1"/>
    <col min="15341" max="15341" width="14.28515625" customWidth="1"/>
    <col min="15342" max="15342" width="0.85546875" customWidth="1"/>
    <col min="15343" max="15343" width="16.5703125" bestFit="1" customWidth="1"/>
    <col min="15344" max="15344" width="13.42578125" bestFit="1" customWidth="1"/>
    <col min="15591" max="15591" width="4.85546875" bestFit="1" customWidth="1"/>
    <col min="15592" max="15592" width="5.85546875" bestFit="1" customWidth="1"/>
    <col min="15593" max="15593" width="7.42578125" bestFit="1" customWidth="1"/>
    <col min="15594" max="15594" width="8.140625" bestFit="1" customWidth="1"/>
    <col min="15595" max="15595" width="4.5703125" bestFit="1" customWidth="1"/>
    <col min="15596" max="15596" width="57.5703125" customWidth="1"/>
    <col min="15597" max="15597" width="14.28515625" customWidth="1"/>
    <col min="15598" max="15598" width="0.85546875" customWidth="1"/>
    <col min="15599" max="15599" width="16.5703125" bestFit="1" customWidth="1"/>
    <col min="15600" max="15600" width="13.42578125" bestFit="1" customWidth="1"/>
    <col min="15847" max="15847" width="4.85546875" bestFit="1" customWidth="1"/>
    <col min="15848" max="15848" width="5.85546875" bestFit="1" customWidth="1"/>
    <col min="15849" max="15849" width="7.42578125" bestFit="1" customWidth="1"/>
    <col min="15850" max="15850" width="8.140625" bestFit="1" customWidth="1"/>
    <col min="15851" max="15851" width="4.5703125" bestFit="1" customWidth="1"/>
    <col min="15852" max="15852" width="57.5703125" customWidth="1"/>
    <col min="15853" max="15853" width="14.28515625" customWidth="1"/>
    <col min="15854" max="15854" width="0.85546875" customWidth="1"/>
    <col min="15855" max="15855" width="16.5703125" bestFit="1" customWidth="1"/>
    <col min="15856" max="15856" width="13.42578125" bestFit="1" customWidth="1"/>
    <col min="16103" max="16103" width="4.85546875" bestFit="1" customWidth="1"/>
    <col min="16104" max="16104" width="5.85546875" bestFit="1" customWidth="1"/>
    <col min="16105" max="16105" width="7.42578125" bestFit="1" customWidth="1"/>
    <col min="16106" max="16106" width="8.140625" bestFit="1" customWidth="1"/>
    <col min="16107" max="16107" width="4.5703125" bestFit="1" customWidth="1"/>
    <col min="16108" max="16108" width="57.5703125" customWidth="1"/>
    <col min="16109" max="16109" width="14.28515625" customWidth="1"/>
    <col min="16110" max="16110" width="0.85546875" customWidth="1"/>
    <col min="16111" max="16111" width="16.5703125" bestFit="1" customWidth="1"/>
    <col min="16112" max="16112" width="13.42578125" bestFit="1" customWidth="1"/>
  </cols>
  <sheetData>
    <row r="1" spans="1:21">
      <c r="A1" s="74"/>
      <c r="B1" s="74"/>
      <c r="C1" s="74"/>
      <c r="D1" s="74"/>
      <c r="E1" s="74"/>
      <c r="F1" s="74"/>
      <c r="G1" s="74"/>
      <c r="H1" s="74"/>
      <c r="I1" s="75"/>
      <c r="J1" s="75"/>
      <c r="K1" s="75"/>
      <c r="L1" s="75"/>
      <c r="M1" s="75"/>
      <c r="N1" s="75"/>
      <c r="O1" s="75"/>
      <c r="P1" s="75"/>
      <c r="Q1" s="75"/>
      <c r="R1" s="75"/>
      <c r="S1" s="74"/>
      <c r="T1" s="74"/>
    </row>
    <row r="2" spans="1:21">
      <c r="A2" s="74"/>
      <c r="B2" s="74"/>
      <c r="C2" s="74"/>
      <c r="D2" s="74"/>
      <c r="E2" s="74"/>
      <c r="F2" s="74"/>
      <c r="G2" s="74"/>
      <c r="H2" s="74"/>
      <c r="I2" s="75"/>
      <c r="J2" s="75"/>
      <c r="K2" s="75"/>
      <c r="L2" s="75"/>
      <c r="M2" s="75"/>
      <c r="N2" s="75"/>
      <c r="O2" s="75"/>
      <c r="P2" s="75"/>
      <c r="Q2" s="75"/>
      <c r="R2" s="75"/>
      <c r="S2" s="74"/>
      <c r="T2" s="74"/>
    </row>
    <row r="3" spans="1:21">
      <c r="A3" s="74"/>
      <c r="B3" s="74"/>
      <c r="C3" s="74"/>
      <c r="D3" s="74"/>
      <c r="E3" s="74"/>
      <c r="F3" s="74"/>
      <c r="G3" s="74"/>
      <c r="H3" s="74"/>
      <c r="I3" s="75"/>
      <c r="J3" s="75"/>
      <c r="K3" s="75"/>
      <c r="L3" s="75"/>
      <c r="M3" s="75"/>
      <c r="N3" s="75"/>
      <c r="O3" s="75"/>
      <c r="P3" s="75"/>
      <c r="Q3" s="75"/>
      <c r="R3" s="75"/>
      <c r="S3" s="74"/>
      <c r="T3" s="74"/>
    </row>
    <row r="4" spans="1:21">
      <c r="A4" s="74"/>
      <c r="B4" s="74"/>
      <c r="C4" s="74"/>
      <c r="D4" s="74"/>
      <c r="E4" s="74"/>
      <c r="F4" s="74"/>
      <c r="G4" s="74"/>
      <c r="H4" s="74"/>
      <c r="I4" s="75"/>
      <c r="J4" s="75"/>
      <c r="K4" s="75"/>
      <c r="L4" s="75"/>
      <c r="M4" s="75"/>
      <c r="N4" s="75"/>
      <c r="O4" s="75"/>
      <c r="P4" s="75"/>
      <c r="Q4" s="75"/>
      <c r="R4" s="75"/>
      <c r="S4" s="74"/>
      <c r="T4" s="74"/>
    </row>
    <row r="5" spans="1:21" ht="20.25">
      <c r="A5" s="118" t="str">
        <f>'[1]Estado de flujo de Efectivo'!A1:B1</f>
        <v>Consejo Económico y Social -CES-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74"/>
    </row>
    <row r="6" spans="1:21" ht="20.25">
      <c r="A6" s="118" t="s">
        <v>120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74"/>
    </row>
    <row r="7" spans="1:21" ht="20.25">
      <c r="A7" s="118" t="s">
        <v>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74"/>
    </row>
    <row r="8" spans="1:21" ht="18.75" customHeight="1" thickBot="1">
      <c r="A8" s="8"/>
      <c r="B8" s="8"/>
      <c r="C8" s="8"/>
      <c r="D8" s="8"/>
      <c r="E8" s="119"/>
      <c r="F8" s="120"/>
      <c r="G8" s="121"/>
      <c r="H8" s="121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1"/>
      <c r="T8" s="74"/>
    </row>
    <row r="9" spans="1:21" ht="0.75" customHeight="1" thickBot="1">
      <c r="A9" s="115" t="s">
        <v>1</v>
      </c>
      <c r="B9" s="116"/>
      <c r="C9" s="116"/>
      <c r="D9" s="116"/>
      <c r="E9" s="117"/>
      <c r="F9" s="9"/>
      <c r="G9" s="123" t="s">
        <v>2</v>
      </c>
      <c r="H9" s="123"/>
      <c r="I9" s="124" t="s">
        <v>2</v>
      </c>
      <c r="J9" s="125"/>
      <c r="K9" s="125"/>
      <c r="L9" s="125"/>
      <c r="M9" s="125"/>
      <c r="N9" s="125"/>
      <c r="O9" s="125"/>
      <c r="P9" s="125"/>
      <c r="Q9" s="125"/>
      <c r="R9" s="125"/>
      <c r="S9" s="126" t="s">
        <v>2</v>
      </c>
      <c r="T9" s="74"/>
    </row>
    <row r="10" spans="1:21" ht="49.5" customHeight="1" thickBot="1">
      <c r="A10" s="71"/>
      <c r="B10" s="71"/>
      <c r="C10" s="72"/>
      <c r="D10" s="72"/>
      <c r="E10" s="73"/>
      <c r="F10" s="58"/>
      <c r="G10" s="10" t="s">
        <v>121</v>
      </c>
      <c r="H10" s="10" t="s">
        <v>122</v>
      </c>
      <c r="I10" s="127" t="s">
        <v>123</v>
      </c>
      <c r="J10" s="127" t="s">
        <v>124</v>
      </c>
      <c r="K10" s="127" t="s">
        <v>125</v>
      </c>
      <c r="L10" s="127" t="s">
        <v>126</v>
      </c>
      <c r="M10" s="127" t="s">
        <v>127</v>
      </c>
      <c r="N10" s="127" t="s">
        <v>128</v>
      </c>
      <c r="O10" s="127" t="s">
        <v>129</v>
      </c>
      <c r="P10" s="127" t="s">
        <v>130</v>
      </c>
      <c r="Q10" s="127" t="s">
        <v>131</v>
      </c>
      <c r="R10" s="127" t="s">
        <v>132</v>
      </c>
      <c r="S10" s="69" t="s">
        <v>133</v>
      </c>
      <c r="T10" s="128" t="s">
        <v>115</v>
      </c>
    </row>
    <row r="11" spans="1:21" ht="32.25" thickBot="1">
      <c r="A11" s="11" t="s">
        <v>3</v>
      </c>
      <c r="B11" s="10" t="s">
        <v>4</v>
      </c>
      <c r="C11" s="12" t="s">
        <v>5</v>
      </c>
      <c r="D11" s="10" t="s">
        <v>6</v>
      </c>
      <c r="E11" s="10" t="s">
        <v>7</v>
      </c>
      <c r="F11" s="71" t="s">
        <v>8</v>
      </c>
      <c r="G11" s="129" t="s">
        <v>9</v>
      </c>
      <c r="H11" s="129" t="s">
        <v>9</v>
      </c>
      <c r="I11" s="13" t="s">
        <v>9</v>
      </c>
      <c r="J11" s="13" t="s">
        <v>9</v>
      </c>
      <c r="K11" s="13" t="s">
        <v>9</v>
      </c>
      <c r="L11" s="13" t="s">
        <v>9</v>
      </c>
      <c r="M11" s="13" t="s">
        <v>9</v>
      </c>
      <c r="N11" s="13" t="s">
        <v>9</v>
      </c>
      <c r="O11" s="13" t="s">
        <v>9</v>
      </c>
      <c r="P11" s="13" t="s">
        <v>9</v>
      </c>
      <c r="Q11" s="13" t="s">
        <v>9</v>
      </c>
      <c r="R11" s="13" t="s">
        <v>9</v>
      </c>
      <c r="S11" s="13" t="s">
        <v>9</v>
      </c>
      <c r="T11" s="130" t="s">
        <v>9</v>
      </c>
    </row>
    <row r="12" spans="1:21" ht="15.75">
      <c r="A12" s="14"/>
      <c r="B12" s="15"/>
      <c r="C12" s="16"/>
      <c r="D12" s="17"/>
      <c r="E12" s="18"/>
      <c r="F12" s="102"/>
      <c r="G12" s="131"/>
      <c r="H12" s="131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3"/>
    </row>
    <row r="13" spans="1:21" ht="16.5" thickBot="1">
      <c r="A13" s="15">
        <v>2</v>
      </c>
      <c r="B13" s="15">
        <v>1</v>
      </c>
      <c r="C13" s="19"/>
      <c r="D13" s="15"/>
      <c r="E13" s="20"/>
      <c r="F13" s="104" t="s">
        <v>10</v>
      </c>
      <c r="G13" s="21">
        <f>G14+G32+G39+G44</f>
        <v>17970117</v>
      </c>
      <c r="H13" s="21">
        <f>H14+H32+H39+H44</f>
        <v>1600000</v>
      </c>
      <c r="I13" s="21">
        <f>I14+I32+I39+I44</f>
        <v>894193.64</v>
      </c>
      <c r="J13" s="21">
        <f t="shared" ref="J13:T13" si="0">J14+J32+J39+J44</f>
        <v>898702.92</v>
      </c>
      <c r="K13" s="21">
        <f t="shared" si="0"/>
        <v>901091.05</v>
      </c>
      <c r="L13" s="21">
        <f t="shared" si="0"/>
        <v>903115.4</v>
      </c>
      <c r="M13" s="21">
        <f t="shared" si="0"/>
        <v>916032.07000000007</v>
      </c>
      <c r="N13" s="21">
        <f t="shared" si="0"/>
        <v>845989.23</v>
      </c>
      <c r="O13" s="21">
        <f t="shared" si="0"/>
        <v>903115.4</v>
      </c>
      <c r="P13" s="21">
        <f t="shared" si="0"/>
        <v>925015.38</v>
      </c>
      <c r="Q13" s="21">
        <f>Q14+Q32+Q39+Q44</f>
        <v>974606.07000000007</v>
      </c>
      <c r="R13" s="21">
        <f>R14+R32+R39+R44</f>
        <v>2303993.17</v>
      </c>
      <c r="S13" s="21">
        <f>S14+S32+S39+S44</f>
        <v>10465854.33</v>
      </c>
      <c r="T13" s="68">
        <f t="shared" si="0"/>
        <v>7609358.8500000006</v>
      </c>
      <c r="U13" s="65"/>
    </row>
    <row r="14" spans="1:21" ht="16.5" thickBot="1">
      <c r="A14" s="15">
        <v>2</v>
      </c>
      <c r="B14" s="15">
        <v>1</v>
      </c>
      <c r="C14" s="19">
        <v>1</v>
      </c>
      <c r="D14" s="15"/>
      <c r="E14" s="20"/>
      <c r="F14" s="104" t="s">
        <v>11</v>
      </c>
      <c r="G14" s="28">
        <f>G15+G18+G23+G26</f>
        <v>15000360</v>
      </c>
      <c r="H14" s="28">
        <f>H15+H18+H23+H26</f>
        <v>1600000</v>
      </c>
      <c r="I14" s="28">
        <f>I15+I18+I23+I26</f>
        <v>777812.64</v>
      </c>
      <c r="J14" s="28">
        <f t="shared" ref="J14:T14" si="1">J15+J18+J23+J26</f>
        <v>788111</v>
      </c>
      <c r="K14" s="28">
        <f t="shared" si="1"/>
        <v>787111</v>
      </c>
      <c r="L14" s="28">
        <f t="shared" si="1"/>
        <v>787111</v>
      </c>
      <c r="M14" s="28">
        <f t="shared" si="1"/>
        <v>800027.67</v>
      </c>
      <c r="N14" s="28">
        <f t="shared" si="1"/>
        <v>800011</v>
      </c>
      <c r="O14" s="28">
        <f t="shared" si="1"/>
        <v>787111</v>
      </c>
      <c r="P14" s="28">
        <f t="shared" si="1"/>
        <v>809011</v>
      </c>
      <c r="Q14" s="28">
        <f t="shared" si="1"/>
        <v>860130.67</v>
      </c>
      <c r="R14" s="28">
        <f t="shared" si="1"/>
        <v>2032344.51</v>
      </c>
      <c r="S14" s="28">
        <f t="shared" si="1"/>
        <v>9228781.4900000002</v>
      </c>
      <c r="T14" s="134">
        <f t="shared" si="1"/>
        <v>5876674.6900000004</v>
      </c>
      <c r="U14" s="65"/>
    </row>
    <row r="15" spans="1:21" ht="32.25" thickBot="1">
      <c r="A15" s="15">
        <v>2</v>
      </c>
      <c r="B15" s="15">
        <v>1</v>
      </c>
      <c r="C15" s="19">
        <v>1</v>
      </c>
      <c r="D15" s="15">
        <v>1</v>
      </c>
      <c r="E15" s="20"/>
      <c r="F15" s="104" t="s">
        <v>12</v>
      </c>
      <c r="G15" s="25">
        <f>G16</f>
        <v>6215000</v>
      </c>
      <c r="H15" s="25">
        <f>H16</f>
        <v>1600000</v>
      </c>
      <c r="I15" s="26">
        <f>I16</f>
        <v>225000</v>
      </c>
      <c r="J15" s="25">
        <f t="shared" ref="J15:T15" si="2">J16</f>
        <v>225000</v>
      </c>
      <c r="K15" s="25">
        <f t="shared" si="2"/>
        <v>225000</v>
      </c>
      <c r="L15" s="25">
        <f t="shared" si="2"/>
        <v>225000</v>
      </c>
      <c r="M15" s="25">
        <f t="shared" si="2"/>
        <v>225000</v>
      </c>
      <c r="N15" s="25">
        <f t="shared" si="2"/>
        <v>225000</v>
      </c>
      <c r="O15" s="25">
        <f t="shared" si="2"/>
        <v>225000</v>
      </c>
      <c r="P15" s="25">
        <f t="shared" si="2"/>
        <v>225000</v>
      </c>
      <c r="Q15" s="135">
        <f t="shared" si="2"/>
        <v>225000</v>
      </c>
      <c r="R15" s="25">
        <f t="shared" si="2"/>
        <v>450000</v>
      </c>
      <c r="S15" s="26">
        <f>S16</f>
        <v>2475000</v>
      </c>
      <c r="T15" s="82">
        <f t="shared" si="2"/>
        <v>3740000</v>
      </c>
    </row>
    <row r="16" spans="1:21" ht="15.75">
      <c r="A16" s="15">
        <v>2</v>
      </c>
      <c r="B16" s="15">
        <v>1</v>
      </c>
      <c r="C16" s="19">
        <v>1</v>
      </c>
      <c r="D16" s="15">
        <v>1</v>
      </c>
      <c r="E16" s="15">
        <v>1</v>
      </c>
      <c r="F16" s="105" t="s">
        <v>13</v>
      </c>
      <c r="G16" s="43">
        <v>6215000</v>
      </c>
      <c r="H16" s="43">
        <v>1600000</v>
      </c>
      <c r="I16" s="38">
        <v>225000</v>
      </c>
      <c r="J16" s="38">
        <v>225000</v>
      </c>
      <c r="K16" s="38">
        <v>225000</v>
      </c>
      <c r="L16" s="38">
        <v>225000</v>
      </c>
      <c r="M16" s="38">
        <v>225000</v>
      </c>
      <c r="N16" s="38">
        <v>225000</v>
      </c>
      <c r="O16" s="38">
        <v>225000</v>
      </c>
      <c r="P16" s="38">
        <v>225000</v>
      </c>
      <c r="Q16" s="38">
        <v>225000</v>
      </c>
      <c r="R16" s="38">
        <v>450000</v>
      </c>
      <c r="S16" s="38">
        <f>+I16+J16+K16+L16+M16+N16+O16+P16+Q16+R16</f>
        <v>2475000</v>
      </c>
      <c r="T16" s="136">
        <f>+G16-S16</f>
        <v>3740000</v>
      </c>
      <c r="U16" s="65"/>
    </row>
    <row r="17" spans="1:22" ht="15.75">
      <c r="A17" s="15"/>
      <c r="B17" s="15"/>
      <c r="C17" s="19"/>
      <c r="D17" s="15"/>
      <c r="E17" s="14"/>
      <c r="F17" s="105"/>
      <c r="G17" s="29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137"/>
    </row>
    <row r="18" spans="1:22" ht="48" thickBot="1">
      <c r="A18" s="15">
        <v>2</v>
      </c>
      <c r="B18" s="15">
        <v>1</v>
      </c>
      <c r="C18" s="19">
        <v>1</v>
      </c>
      <c r="D18" s="15">
        <v>2</v>
      </c>
      <c r="E18" s="20"/>
      <c r="F18" s="99" t="s">
        <v>14</v>
      </c>
      <c r="G18" s="21">
        <f>G19</f>
        <v>7705332</v>
      </c>
      <c r="H18" s="21">
        <f>H19</f>
        <v>0</v>
      </c>
      <c r="I18" s="22">
        <f t="shared" ref="I18:S18" si="3">SUM(I19:I21)</f>
        <v>552812.64</v>
      </c>
      <c r="J18" s="22">
        <f t="shared" si="3"/>
        <v>563111</v>
      </c>
      <c r="K18" s="22">
        <f t="shared" si="3"/>
        <v>562111</v>
      </c>
      <c r="L18" s="22">
        <f t="shared" si="3"/>
        <v>562111</v>
      </c>
      <c r="M18" s="22">
        <f t="shared" si="3"/>
        <v>552111</v>
      </c>
      <c r="N18" s="22">
        <f t="shared" si="3"/>
        <v>562111</v>
      </c>
      <c r="O18" s="22">
        <f t="shared" si="3"/>
        <v>562111</v>
      </c>
      <c r="P18" s="22">
        <f t="shared" si="3"/>
        <v>562111</v>
      </c>
      <c r="Q18" s="22">
        <f t="shared" si="3"/>
        <v>532111</v>
      </c>
      <c r="R18" s="22">
        <f t="shared" si="3"/>
        <v>1580268</v>
      </c>
      <c r="S18" s="22">
        <f t="shared" si="3"/>
        <v>6590968.6399999997</v>
      </c>
      <c r="T18" s="87">
        <f t="shared" ref="T18" si="4">SUM(T19:T21)</f>
        <v>1114363.3600000001</v>
      </c>
      <c r="V18" s="6"/>
    </row>
    <row r="19" spans="1:22" ht="31.5">
      <c r="A19" s="15">
        <v>2</v>
      </c>
      <c r="B19" s="15">
        <v>1</v>
      </c>
      <c r="C19" s="19">
        <v>1</v>
      </c>
      <c r="D19" s="15">
        <v>2</v>
      </c>
      <c r="E19" s="15">
        <v>1</v>
      </c>
      <c r="F19" s="101" t="s">
        <v>15</v>
      </c>
      <c r="G19" s="33">
        <v>7705332</v>
      </c>
      <c r="H19" s="34"/>
      <c r="I19" s="30">
        <f>25800+36000+40000+31200+43800+54125+59250+43800+73568+73568+55000</f>
        <v>536111</v>
      </c>
      <c r="J19" s="30">
        <f>25800+36000+40000+31200+43800+54125+59250+43800+73568+73568+55000+27000</f>
        <v>563111</v>
      </c>
      <c r="K19" s="138">
        <f t="shared" ref="K19:P19" si="5">26000+36000+40000+31200+43800+25800+54125+59250+43800+73568+73568+55000</f>
        <v>562111</v>
      </c>
      <c r="L19" s="138">
        <f t="shared" si="5"/>
        <v>562111</v>
      </c>
      <c r="M19" s="138">
        <f>26000+36000+40000+31200+43800+15800+54125+59250+43800+73568+73568+55000</f>
        <v>552111</v>
      </c>
      <c r="N19" s="138">
        <f t="shared" si="5"/>
        <v>562111</v>
      </c>
      <c r="O19" s="138">
        <f t="shared" si="5"/>
        <v>562111</v>
      </c>
      <c r="P19" s="138">
        <f t="shared" si="5"/>
        <v>562111</v>
      </c>
      <c r="Q19" s="30">
        <f>26000+36000+31200+43800+25800+54125+59250+43800+73568+73568+55000+10000</f>
        <v>532111</v>
      </c>
      <c r="R19" s="36">
        <v>1580268</v>
      </c>
      <c r="S19" s="30">
        <f>+I19+J201+K19+L19+M19+N19+J19+O19+P19+Q19+R19</f>
        <v>6574267</v>
      </c>
      <c r="T19" s="137">
        <f>+G19-S19</f>
        <v>1131065</v>
      </c>
      <c r="U19" s="65"/>
    </row>
    <row r="20" spans="1:22" ht="31.5">
      <c r="A20" s="15">
        <v>2</v>
      </c>
      <c r="B20" s="15">
        <v>1</v>
      </c>
      <c r="C20" s="19">
        <v>1</v>
      </c>
      <c r="D20" s="15">
        <v>2</v>
      </c>
      <c r="E20" s="15">
        <v>2</v>
      </c>
      <c r="F20" s="101" t="s">
        <v>16</v>
      </c>
      <c r="G20" s="29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>
        <f>+I20+J20+K20+L20+M20+N20+O20+P20+Q20</f>
        <v>0</v>
      </c>
      <c r="T20" s="137"/>
    </row>
    <row r="21" spans="1:22" ht="31.5">
      <c r="A21" s="15">
        <v>2</v>
      </c>
      <c r="B21" s="15">
        <v>1</v>
      </c>
      <c r="C21" s="19">
        <v>1</v>
      </c>
      <c r="D21" s="15">
        <v>2</v>
      </c>
      <c r="E21" s="15">
        <v>5</v>
      </c>
      <c r="F21" s="101" t="s">
        <v>17</v>
      </c>
      <c r="G21" s="34"/>
      <c r="H21" s="34"/>
      <c r="I21" s="35">
        <f>16701.64</f>
        <v>16701.64</v>
      </c>
      <c r="J21" s="35">
        <v>0</v>
      </c>
      <c r="K21" s="35"/>
      <c r="L21" s="35"/>
      <c r="M21" s="35"/>
      <c r="N21" s="35"/>
      <c r="O21" s="35"/>
      <c r="P21" s="138"/>
      <c r="Q21" s="30"/>
      <c r="R21" s="138"/>
      <c r="S21" s="30">
        <f>+I21+J21+K21+L21+M21+N21+O21+P21+Q21+R21</f>
        <v>16701.64</v>
      </c>
      <c r="T21" s="139">
        <f>+G21-S21</f>
        <v>-16701.64</v>
      </c>
    </row>
    <row r="22" spans="1:22" ht="15.75">
      <c r="A22" s="15"/>
      <c r="B22" s="15"/>
      <c r="C22" s="19"/>
      <c r="D22" s="15"/>
      <c r="E22" s="15"/>
      <c r="F22" s="101"/>
      <c r="G22" s="34"/>
      <c r="H22" s="34"/>
      <c r="I22" s="35" t="s">
        <v>116</v>
      </c>
      <c r="J22" s="35"/>
      <c r="K22" s="35"/>
      <c r="L22" s="35"/>
      <c r="M22" s="35"/>
      <c r="N22" s="35"/>
      <c r="O22" s="35"/>
      <c r="P22" s="35"/>
      <c r="Q22" s="35"/>
      <c r="R22" s="35"/>
      <c r="S22" s="35">
        <f>+J22</f>
        <v>0</v>
      </c>
      <c r="T22" s="139"/>
    </row>
    <row r="23" spans="1:22" ht="16.5" thickBot="1">
      <c r="A23" s="15">
        <v>2</v>
      </c>
      <c r="B23" s="15">
        <v>1</v>
      </c>
      <c r="C23" s="19">
        <v>1</v>
      </c>
      <c r="D23" s="15">
        <v>4</v>
      </c>
      <c r="E23" s="20"/>
      <c r="F23" s="99" t="s">
        <v>18</v>
      </c>
      <c r="G23" s="21">
        <f t="shared" ref="G23:T23" si="6">G24</f>
        <v>1080028</v>
      </c>
      <c r="H23" s="21">
        <f t="shared" si="6"/>
        <v>0</v>
      </c>
      <c r="I23" s="28">
        <f t="shared" si="6"/>
        <v>0</v>
      </c>
      <c r="J23" s="28">
        <f t="shared" si="6"/>
        <v>0</v>
      </c>
      <c r="K23" s="28">
        <f t="shared" si="6"/>
        <v>0</v>
      </c>
      <c r="L23" s="28">
        <f t="shared" si="6"/>
        <v>0</v>
      </c>
      <c r="M23" s="28">
        <f t="shared" si="6"/>
        <v>22916.67</v>
      </c>
      <c r="N23" s="28">
        <f t="shared" si="6"/>
        <v>12900</v>
      </c>
      <c r="O23" s="28">
        <f t="shared" si="6"/>
        <v>0</v>
      </c>
      <c r="P23" s="28">
        <f t="shared" si="6"/>
        <v>21900</v>
      </c>
      <c r="Q23" s="28">
        <f t="shared" si="6"/>
        <v>0</v>
      </c>
      <c r="R23" s="28">
        <f t="shared" si="6"/>
        <v>0</v>
      </c>
      <c r="S23" s="28">
        <f t="shared" si="6"/>
        <v>57716.67</v>
      </c>
      <c r="T23" s="134">
        <f t="shared" si="6"/>
        <v>1022311.33</v>
      </c>
      <c r="U23" s="65"/>
      <c r="V23" s="6"/>
    </row>
    <row r="24" spans="1:22" ht="15.75">
      <c r="A24" s="15">
        <v>2</v>
      </c>
      <c r="B24" s="15">
        <v>1</v>
      </c>
      <c r="C24" s="19">
        <v>1</v>
      </c>
      <c r="D24" s="15">
        <v>4</v>
      </c>
      <c r="E24" s="15">
        <v>1</v>
      </c>
      <c r="F24" s="101" t="s">
        <v>19</v>
      </c>
      <c r="G24" s="33">
        <v>1080028</v>
      </c>
      <c r="H24" s="33"/>
      <c r="I24" s="36">
        <v>0</v>
      </c>
      <c r="J24" s="36"/>
      <c r="K24" s="36"/>
      <c r="L24" s="36"/>
      <c r="M24" s="36">
        <v>22916.67</v>
      </c>
      <c r="N24" s="36">
        <v>12900</v>
      </c>
      <c r="O24" s="36"/>
      <c r="P24" s="36">
        <v>21900</v>
      </c>
      <c r="Q24" s="36"/>
      <c r="R24" s="36"/>
      <c r="S24" s="36">
        <f>+I24+J24+K24+L24+M24+N24+O24+P24+Q24+R24</f>
        <v>57716.67</v>
      </c>
      <c r="T24" s="140">
        <f>+G24-S24</f>
        <v>1022311.33</v>
      </c>
    </row>
    <row r="25" spans="1:22" ht="15.75">
      <c r="A25" s="15"/>
      <c r="B25" s="15"/>
      <c r="C25" s="19"/>
      <c r="D25" s="15"/>
      <c r="E25" s="15"/>
      <c r="F25" s="101"/>
      <c r="G25" s="34"/>
      <c r="H25" s="34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>
        <f>+I25+J25+K25+L25+M25</f>
        <v>0</v>
      </c>
      <c r="T25" s="139"/>
    </row>
    <row r="26" spans="1:22" ht="16.5" thickBot="1">
      <c r="A26" s="15">
        <v>2</v>
      </c>
      <c r="B26" s="15">
        <v>1</v>
      </c>
      <c r="C26" s="19">
        <v>1</v>
      </c>
      <c r="D26" s="15">
        <v>5</v>
      </c>
      <c r="E26" s="20"/>
      <c r="F26" s="99" t="s">
        <v>20</v>
      </c>
      <c r="G26" s="37">
        <f>G27+G30</f>
        <v>0</v>
      </c>
      <c r="H26" s="37">
        <f>H27+H30</f>
        <v>0</v>
      </c>
      <c r="I26" s="22">
        <f t="shared" ref="I26:T26" si="7">I27+I28+I29+I30</f>
        <v>0</v>
      </c>
      <c r="J26" s="22">
        <f t="shared" si="7"/>
        <v>0</v>
      </c>
      <c r="K26" s="22">
        <f t="shared" si="7"/>
        <v>0</v>
      </c>
      <c r="L26" s="22">
        <f t="shared" si="7"/>
        <v>0</v>
      </c>
      <c r="M26" s="22">
        <f t="shared" si="7"/>
        <v>0</v>
      </c>
      <c r="N26" s="22">
        <f t="shared" si="7"/>
        <v>0</v>
      </c>
      <c r="O26" s="22">
        <f t="shared" si="7"/>
        <v>0</v>
      </c>
      <c r="P26" s="22">
        <f t="shared" si="7"/>
        <v>0</v>
      </c>
      <c r="Q26" s="22">
        <f t="shared" si="7"/>
        <v>103019.67</v>
      </c>
      <c r="R26" s="22">
        <f t="shared" si="7"/>
        <v>2076.5100000000002</v>
      </c>
      <c r="S26" s="22">
        <f t="shared" si="7"/>
        <v>105096.18</v>
      </c>
      <c r="T26" s="87">
        <f t="shared" si="7"/>
        <v>0</v>
      </c>
    </row>
    <row r="27" spans="1:22" ht="15.75">
      <c r="A27" s="15">
        <v>2</v>
      </c>
      <c r="B27" s="15">
        <v>1</v>
      </c>
      <c r="C27" s="19">
        <v>1</v>
      </c>
      <c r="D27" s="15">
        <v>5</v>
      </c>
      <c r="E27" s="15">
        <v>1</v>
      </c>
      <c r="F27" s="101" t="s">
        <v>20</v>
      </c>
      <c r="G27" s="34"/>
      <c r="H27" s="34"/>
      <c r="I27" s="35">
        <v>0</v>
      </c>
      <c r="J27" s="35"/>
      <c r="K27" s="35"/>
      <c r="L27" s="35"/>
      <c r="M27" s="35"/>
      <c r="N27" s="35"/>
      <c r="O27" s="35"/>
      <c r="P27" s="35"/>
      <c r="Q27" s="35">
        <v>103019.67</v>
      </c>
      <c r="R27" s="35">
        <v>2076.5100000000002</v>
      </c>
      <c r="S27" s="35">
        <f>+I27+J27+K27+L27+M27+N27+O27+P27+Q27+R27</f>
        <v>105096.18</v>
      </c>
      <c r="T27" s="139">
        <v>0</v>
      </c>
      <c r="V27" s="6"/>
    </row>
    <row r="28" spans="1:22" ht="31.5">
      <c r="A28" s="15">
        <v>2</v>
      </c>
      <c r="B28" s="15">
        <v>1</v>
      </c>
      <c r="C28" s="19">
        <v>1</v>
      </c>
      <c r="D28" s="15">
        <v>5</v>
      </c>
      <c r="E28" s="15">
        <v>2</v>
      </c>
      <c r="F28" s="101" t="s">
        <v>21</v>
      </c>
      <c r="G28" s="34"/>
      <c r="H28" s="34"/>
      <c r="I28" s="35">
        <v>0</v>
      </c>
      <c r="J28" s="35"/>
      <c r="K28" s="35"/>
      <c r="L28" s="35"/>
      <c r="M28" s="35"/>
      <c r="N28" s="35"/>
      <c r="O28" s="35"/>
      <c r="P28" s="35"/>
      <c r="Q28" s="35"/>
      <c r="R28" s="35"/>
      <c r="S28" s="35">
        <f>+I28+J28+K28+L28+M28+N28+O28+P28+Q28+R28</f>
        <v>0</v>
      </c>
      <c r="T28" s="139">
        <v>0</v>
      </c>
    </row>
    <row r="29" spans="1:22" ht="31.5">
      <c r="A29" s="15">
        <v>2</v>
      </c>
      <c r="B29" s="15">
        <v>1</v>
      </c>
      <c r="C29" s="19">
        <v>1</v>
      </c>
      <c r="D29" s="15">
        <v>5</v>
      </c>
      <c r="E29" s="15">
        <v>3</v>
      </c>
      <c r="F29" s="101" t="s">
        <v>22</v>
      </c>
      <c r="G29" s="34"/>
      <c r="H29" s="34"/>
      <c r="I29" s="35">
        <v>0</v>
      </c>
      <c r="J29" s="35"/>
      <c r="K29" s="35"/>
      <c r="L29" s="35"/>
      <c r="M29" s="35"/>
      <c r="N29" s="35"/>
      <c r="O29" s="35"/>
      <c r="P29" s="35"/>
      <c r="Q29" s="35"/>
      <c r="R29" s="35"/>
      <c r="S29" s="35">
        <f t="shared" ref="S29:S30" si="8">+I29+J29+K29+L29+M29+N29+O29+P29+Q29+R29</f>
        <v>0</v>
      </c>
      <c r="T29" s="139">
        <v>0</v>
      </c>
    </row>
    <row r="30" spans="1:22" ht="31.5">
      <c r="A30" s="15">
        <v>2</v>
      </c>
      <c r="B30" s="15">
        <v>1</v>
      </c>
      <c r="C30" s="19">
        <v>1</v>
      </c>
      <c r="D30" s="15">
        <v>5</v>
      </c>
      <c r="E30" s="15">
        <v>4</v>
      </c>
      <c r="F30" s="101" t="s">
        <v>23</v>
      </c>
      <c r="G30" s="34"/>
      <c r="H30" s="34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>
        <f t="shared" si="8"/>
        <v>0</v>
      </c>
      <c r="T30" s="139"/>
    </row>
    <row r="31" spans="1:22" ht="16.5" thickBot="1">
      <c r="A31" s="15"/>
      <c r="B31" s="15"/>
      <c r="C31" s="19"/>
      <c r="D31" s="15"/>
      <c r="E31" s="15"/>
      <c r="F31" s="101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139"/>
    </row>
    <row r="32" spans="1:22" ht="16.5" thickBot="1">
      <c r="A32" s="15">
        <v>2</v>
      </c>
      <c r="B32" s="15">
        <v>1</v>
      </c>
      <c r="C32" s="19">
        <v>2</v>
      </c>
      <c r="D32" s="15"/>
      <c r="E32" s="15"/>
      <c r="F32" s="99" t="s">
        <v>24</v>
      </c>
      <c r="G32" s="23">
        <f t="shared" ref="G32:T32" si="9">G33</f>
        <v>967000</v>
      </c>
      <c r="H32" s="23">
        <f t="shared" si="9"/>
        <v>0</v>
      </c>
      <c r="I32" s="24">
        <f t="shared" si="9"/>
        <v>0</v>
      </c>
      <c r="J32" s="24">
        <f t="shared" si="9"/>
        <v>0</v>
      </c>
      <c r="K32" s="24">
        <f t="shared" si="9"/>
        <v>0</v>
      </c>
      <c r="L32" s="24">
        <f t="shared" si="9"/>
        <v>0</v>
      </c>
      <c r="M32" s="24">
        <f t="shared" si="9"/>
        <v>0</v>
      </c>
      <c r="N32" s="24">
        <f t="shared" si="9"/>
        <v>0</v>
      </c>
      <c r="O32" s="24">
        <f t="shared" si="9"/>
        <v>0</v>
      </c>
      <c r="P32" s="24">
        <f t="shared" si="9"/>
        <v>0</v>
      </c>
      <c r="Q32" s="24">
        <f t="shared" si="9"/>
        <v>0</v>
      </c>
      <c r="R32" s="24">
        <f t="shared" si="9"/>
        <v>0</v>
      </c>
      <c r="S32" s="24">
        <f>S33</f>
        <v>0</v>
      </c>
      <c r="T32" s="141">
        <f t="shared" si="9"/>
        <v>967000</v>
      </c>
    </row>
    <row r="33" spans="1:22" ht="16.5" thickBot="1">
      <c r="A33" s="15">
        <v>2</v>
      </c>
      <c r="B33" s="15">
        <v>1</v>
      </c>
      <c r="C33" s="15">
        <v>2</v>
      </c>
      <c r="D33" s="15">
        <v>2</v>
      </c>
      <c r="E33" s="15"/>
      <c r="F33" s="99" t="s">
        <v>25</v>
      </c>
      <c r="G33" s="21">
        <f>G34+G35+G36</f>
        <v>967000</v>
      </c>
      <c r="H33" s="21">
        <f>H34+H35+H36</f>
        <v>0</v>
      </c>
      <c r="I33" s="24">
        <f t="shared" ref="I33:T33" si="10">I36</f>
        <v>0</v>
      </c>
      <c r="J33" s="24">
        <f t="shared" si="10"/>
        <v>0</v>
      </c>
      <c r="K33" s="24">
        <f t="shared" si="10"/>
        <v>0</v>
      </c>
      <c r="L33" s="24">
        <f t="shared" si="10"/>
        <v>0</v>
      </c>
      <c r="M33" s="24">
        <f t="shared" si="10"/>
        <v>0</v>
      </c>
      <c r="N33" s="24">
        <f t="shared" si="10"/>
        <v>0</v>
      </c>
      <c r="O33" s="24">
        <f t="shared" si="10"/>
        <v>0</v>
      </c>
      <c r="P33" s="24">
        <f t="shared" si="10"/>
        <v>0</v>
      </c>
      <c r="Q33" s="24">
        <f t="shared" si="10"/>
        <v>0</v>
      </c>
      <c r="R33" s="24">
        <f t="shared" si="10"/>
        <v>0</v>
      </c>
      <c r="S33" s="24">
        <f t="shared" si="10"/>
        <v>0</v>
      </c>
      <c r="T33" s="141">
        <f t="shared" si="10"/>
        <v>967000</v>
      </c>
    </row>
    <row r="34" spans="1:22" ht="31.5">
      <c r="A34" s="15">
        <v>2</v>
      </c>
      <c r="B34" s="15">
        <v>1</v>
      </c>
      <c r="C34" s="15">
        <v>2</v>
      </c>
      <c r="D34" s="15">
        <v>2</v>
      </c>
      <c r="E34" s="15">
        <v>2</v>
      </c>
      <c r="F34" s="99" t="s">
        <v>26</v>
      </c>
      <c r="G34" s="56"/>
      <c r="H34" s="56"/>
      <c r="I34" s="28">
        <v>0</v>
      </c>
      <c r="J34" s="28">
        <v>0</v>
      </c>
      <c r="K34" s="28"/>
      <c r="L34" s="28"/>
      <c r="M34" s="28"/>
      <c r="N34" s="28"/>
      <c r="O34" s="28"/>
      <c r="P34" s="28"/>
      <c r="Q34" s="28"/>
      <c r="R34" s="28"/>
      <c r="S34" s="28">
        <f>+I34+J34+K34+L34+M34+N34+O34+P34+Q34+R34</f>
        <v>0</v>
      </c>
      <c r="T34" s="134">
        <v>0</v>
      </c>
    </row>
    <row r="35" spans="1:22" ht="15.75">
      <c r="A35" s="15">
        <v>2</v>
      </c>
      <c r="B35" s="15">
        <v>1</v>
      </c>
      <c r="C35" s="15">
        <v>2</v>
      </c>
      <c r="D35" s="15">
        <v>2</v>
      </c>
      <c r="E35" s="15">
        <v>4</v>
      </c>
      <c r="F35" s="101" t="s">
        <v>27</v>
      </c>
      <c r="G35" s="34">
        <v>0</v>
      </c>
      <c r="H35" s="34"/>
      <c r="I35" s="35">
        <v>0</v>
      </c>
      <c r="J35" s="35"/>
      <c r="K35" s="35"/>
      <c r="L35" s="35"/>
      <c r="M35" s="35"/>
      <c r="N35" s="35"/>
      <c r="O35" s="35"/>
      <c r="P35" s="35"/>
      <c r="Q35" s="35"/>
      <c r="R35" s="35"/>
      <c r="S35" s="28">
        <f t="shared" ref="S35:S38" si="11">+I35+J35+K35+L35+M35+N35+O35+P35+Q35+R35</f>
        <v>0</v>
      </c>
      <c r="T35" s="139">
        <v>0</v>
      </c>
    </row>
    <row r="36" spans="1:22" ht="31.5">
      <c r="A36" s="15">
        <v>2</v>
      </c>
      <c r="B36" s="15">
        <v>1</v>
      </c>
      <c r="C36" s="15">
        <v>2</v>
      </c>
      <c r="D36" s="15">
        <v>2</v>
      </c>
      <c r="E36" s="15">
        <v>15</v>
      </c>
      <c r="F36" s="101" t="s">
        <v>112</v>
      </c>
      <c r="G36" s="34">
        <v>967000</v>
      </c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28">
        <f t="shared" si="11"/>
        <v>0</v>
      </c>
      <c r="T36" s="139">
        <f>+G36-S36</f>
        <v>967000</v>
      </c>
    </row>
    <row r="37" spans="1:22" ht="15.75">
      <c r="A37" s="15"/>
      <c r="B37" s="15"/>
      <c r="C37" s="19"/>
      <c r="D37" s="15"/>
      <c r="E37" s="15"/>
      <c r="F37" s="101"/>
      <c r="G37" s="34"/>
      <c r="H37" s="34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28">
        <f t="shared" si="11"/>
        <v>0</v>
      </c>
      <c r="T37" s="139"/>
    </row>
    <row r="38" spans="1:22" ht="15.75">
      <c r="A38" s="15"/>
      <c r="B38" s="15"/>
      <c r="C38" s="19"/>
      <c r="D38" s="15"/>
      <c r="E38" s="15"/>
      <c r="F38" s="101"/>
      <c r="G38" s="34"/>
      <c r="H38" s="34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28">
        <f t="shared" si="11"/>
        <v>0</v>
      </c>
      <c r="T38" s="139"/>
    </row>
    <row r="39" spans="1:22" ht="32.25" thickBot="1">
      <c r="A39" s="15">
        <v>2</v>
      </c>
      <c r="B39" s="15">
        <v>1</v>
      </c>
      <c r="C39" s="19">
        <v>3</v>
      </c>
      <c r="D39" s="15"/>
      <c r="E39" s="15"/>
      <c r="F39" s="99" t="s">
        <v>28</v>
      </c>
      <c r="G39" s="34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139"/>
    </row>
    <row r="40" spans="1:22" ht="16.5" thickBot="1">
      <c r="A40" s="15">
        <v>2</v>
      </c>
      <c r="B40" s="15">
        <v>1</v>
      </c>
      <c r="C40" s="19">
        <v>3</v>
      </c>
      <c r="D40" s="15">
        <v>1</v>
      </c>
      <c r="E40" s="20"/>
      <c r="F40" s="99" t="s">
        <v>29</v>
      </c>
      <c r="G40" s="25">
        <f>G41+G42</f>
        <v>0</v>
      </c>
      <c r="H40" s="25"/>
      <c r="I40" s="26">
        <f>I41+I42</f>
        <v>0</v>
      </c>
      <c r="J40" s="26">
        <f>J41+J42</f>
        <v>0</v>
      </c>
      <c r="K40" s="26">
        <f t="shared" ref="K40:Q40" si="12">K41+K42</f>
        <v>0</v>
      </c>
      <c r="L40" s="26">
        <f t="shared" si="12"/>
        <v>0</v>
      </c>
      <c r="M40" s="26">
        <f t="shared" si="12"/>
        <v>0</v>
      </c>
      <c r="N40" s="26">
        <f t="shared" si="12"/>
        <v>0</v>
      </c>
      <c r="O40" s="26">
        <f t="shared" si="12"/>
        <v>0</v>
      </c>
      <c r="P40" s="26">
        <f t="shared" si="12"/>
        <v>0</v>
      </c>
      <c r="Q40" s="26">
        <f t="shared" si="12"/>
        <v>0</v>
      </c>
      <c r="R40" s="26"/>
      <c r="S40" s="26">
        <f>S41+S42</f>
        <v>0</v>
      </c>
      <c r="T40" s="142">
        <f>T41+T42</f>
        <v>0</v>
      </c>
    </row>
    <row r="41" spans="1:22" ht="15.75">
      <c r="A41" s="15">
        <v>2</v>
      </c>
      <c r="B41" s="15">
        <v>1</v>
      </c>
      <c r="C41" s="19">
        <v>3</v>
      </c>
      <c r="D41" s="15">
        <v>1</v>
      </c>
      <c r="E41" s="15">
        <v>1</v>
      </c>
      <c r="F41" s="101" t="s">
        <v>30</v>
      </c>
      <c r="G41" s="33"/>
      <c r="H41" s="34"/>
      <c r="I41" s="35">
        <f>G41*12</f>
        <v>0</v>
      </c>
      <c r="J41" s="35"/>
      <c r="K41" s="35"/>
      <c r="L41" s="35"/>
      <c r="M41" s="35"/>
      <c r="N41" s="35"/>
      <c r="O41" s="35"/>
      <c r="P41" s="35"/>
      <c r="Q41" s="35"/>
      <c r="R41" s="35"/>
      <c r="S41" s="35">
        <f>+I41+J41+K41+L41+M41+N41+O41+P41+Q41+R41</f>
        <v>0</v>
      </c>
      <c r="T41" s="139">
        <f>+G41-S41</f>
        <v>0</v>
      </c>
    </row>
    <row r="42" spans="1:22" ht="15.75">
      <c r="A42" s="15">
        <v>2</v>
      </c>
      <c r="B42" s="15">
        <v>1</v>
      </c>
      <c r="C42" s="19">
        <v>3</v>
      </c>
      <c r="D42" s="15">
        <v>1</v>
      </c>
      <c r="E42" s="15">
        <v>2</v>
      </c>
      <c r="F42" s="101" t="s">
        <v>31</v>
      </c>
      <c r="G42" s="34"/>
      <c r="H42" s="34"/>
      <c r="I42" s="35">
        <f>G42*12</f>
        <v>0</v>
      </c>
      <c r="J42" s="35"/>
      <c r="K42" s="35"/>
      <c r="L42" s="35"/>
      <c r="M42" s="35"/>
      <c r="N42" s="35"/>
      <c r="O42" s="35"/>
      <c r="P42" s="35"/>
      <c r="Q42" s="35"/>
      <c r="R42" s="35"/>
      <c r="S42" s="35">
        <f t="shared" ref="S42:S43" si="13">+I42+J42+K42+L42+M42+N42+O42+P42+Q42+R42</f>
        <v>0</v>
      </c>
      <c r="T42" s="139">
        <f>+G42-S42</f>
        <v>0</v>
      </c>
    </row>
    <row r="43" spans="1:22" s="4" customFormat="1" ht="15.75">
      <c r="A43" s="15"/>
      <c r="B43" s="15"/>
      <c r="C43" s="19"/>
      <c r="D43" s="15"/>
      <c r="E43" s="15"/>
      <c r="F43" s="101"/>
      <c r="G43" s="34"/>
      <c r="H43" s="34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>
        <f t="shared" si="13"/>
        <v>0</v>
      </c>
      <c r="T43" s="139"/>
      <c r="V43" s="66"/>
    </row>
    <row r="44" spans="1:22" ht="48" thickBot="1">
      <c r="A44" s="15">
        <v>2</v>
      </c>
      <c r="B44" s="40">
        <v>1</v>
      </c>
      <c r="C44" s="41">
        <v>5</v>
      </c>
      <c r="D44" s="20"/>
      <c r="E44" s="20"/>
      <c r="F44" s="99" t="s">
        <v>32</v>
      </c>
      <c r="G44" s="21">
        <f t="shared" ref="G44:S44" si="14">SUM(G45:G47)</f>
        <v>2002757</v>
      </c>
      <c r="H44" s="21">
        <f t="shared" si="14"/>
        <v>0</v>
      </c>
      <c r="I44" s="28">
        <f t="shared" si="14"/>
        <v>116381</v>
      </c>
      <c r="J44" s="28">
        <f t="shared" si="14"/>
        <v>110591.92</v>
      </c>
      <c r="K44" s="28">
        <f t="shared" si="14"/>
        <v>113980.05</v>
      </c>
      <c r="L44" s="28">
        <f t="shared" si="14"/>
        <v>116004.4</v>
      </c>
      <c r="M44" s="28">
        <f t="shared" si="14"/>
        <v>116004.4</v>
      </c>
      <c r="N44" s="28">
        <f t="shared" si="14"/>
        <v>45978.23</v>
      </c>
      <c r="O44" s="28">
        <f t="shared" si="14"/>
        <v>116004.4</v>
      </c>
      <c r="P44" s="28">
        <f t="shared" si="14"/>
        <v>116004.37999999999</v>
      </c>
      <c r="Q44" s="28">
        <f>SUM(Q45:Q47)</f>
        <v>114475.4</v>
      </c>
      <c r="R44" s="28">
        <f>SUM(R45:R47)</f>
        <v>271648.66000000003</v>
      </c>
      <c r="S44" s="28">
        <f t="shared" si="14"/>
        <v>1237072.8400000001</v>
      </c>
      <c r="T44" s="134">
        <f t="shared" ref="T44" si="15">SUM(T45:T47)</f>
        <v>765684.1599999998</v>
      </c>
      <c r="U44" s="65"/>
    </row>
    <row r="45" spans="1:22" ht="31.5">
      <c r="A45" s="15">
        <v>2</v>
      </c>
      <c r="B45" s="15">
        <v>1</v>
      </c>
      <c r="C45" s="19">
        <v>5</v>
      </c>
      <c r="D45" s="15">
        <v>1</v>
      </c>
      <c r="E45" s="15"/>
      <c r="F45" s="105" t="s">
        <v>33</v>
      </c>
      <c r="G45" s="33">
        <v>915272</v>
      </c>
      <c r="H45" s="33"/>
      <c r="I45" s="36">
        <v>52497</v>
      </c>
      <c r="J45" s="36">
        <f>51454.68-3540.76</f>
        <v>47913.919999999998</v>
      </c>
      <c r="K45" s="36">
        <v>51383.78</v>
      </c>
      <c r="L45" s="36">
        <v>53113.39</v>
      </c>
      <c r="M45" s="36">
        <v>53113.39</v>
      </c>
      <c r="N45" s="36">
        <f>53113.39-70026.15</f>
        <v>-16912.759999999995</v>
      </c>
      <c r="O45" s="36">
        <v>53113.39</v>
      </c>
      <c r="P45" s="36">
        <v>53113.39</v>
      </c>
      <c r="Q45" s="36">
        <v>52404.39</v>
      </c>
      <c r="R45" s="36">
        <v>123018.1</v>
      </c>
      <c r="S45" s="36">
        <f>+I45+J45+K45+L45+M45+N45+O45+P45+Q45+R45</f>
        <v>522757.99000000011</v>
      </c>
      <c r="T45" s="140">
        <f>+G45-S45</f>
        <v>392514.00999999989</v>
      </c>
      <c r="U45" s="35"/>
    </row>
    <row r="46" spans="1:22" ht="31.5">
      <c r="A46" s="15">
        <v>2</v>
      </c>
      <c r="B46" s="15">
        <v>1</v>
      </c>
      <c r="C46" s="19">
        <v>5</v>
      </c>
      <c r="D46" s="15">
        <v>2</v>
      </c>
      <c r="E46" s="15"/>
      <c r="F46" s="105" t="s">
        <v>34</v>
      </c>
      <c r="G46" s="34">
        <v>988344</v>
      </c>
      <c r="H46" s="34"/>
      <c r="I46" s="35">
        <v>57000</v>
      </c>
      <c r="J46" s="35">
        <v>55956</v>
      </c>
      <c r="K46" s="35">
        <v>55884.89</v>
      </c>
      <c r="L46" s="35">
        <v>55884.89</v>
      </c>
      <c r="M46" s="35">
        <v>55884.89</v>
      </c>
      <c r="N46" s="35">
        <v>55884.88</v>
      </c>
      <c r="O46" s="35">
        <v>55884.89</v>
      </c>
      <c r="P46" s="35">
        <v>55884.88</v>
      </c>
      <c r="Q46" s="35">
        <v>55174.89</v>
      </c>
      <c r="R46" s="35">
        <v>138755.88</v>
      </c>
      <c r="S46" s="35">
        <f>+I46+J46+K46+L46+M46+N46+O46+P46+Q46+R46</f>
        <v>642196.09000000008</v>
      </c>
      <c r="T46" s="139">
        <f>+G46-S46</f>
        <v>346147.90999999992</v>
      </c>
      <c r="U46" s="35"/>
    </row>
    <row r="47" spans="1:22" ht="31.5">
      <c r="A47" s="15">
        <v>2</v>
      </c>
      <c r="B47" s="15">
        <v>1</v>
      </c>
      <c r="C47" s="19">
        <v>5</v>
      </c>
      <c r="D47" s="15">
        <v>3</v>
      </c>
      <c r="E47" s="15"/>
      <c r="F47" s="101" t="s">
        <v>35</v>
      </c>
      <c r="G47" s="34">
        <v>99141</v>
      </c>
      <c r="H47" s="34"/>
      <c r="I47" s="35">
        <v>6884</v>
      </c>
      <c r="J47" s="35">
        <v>6722</v>
      </c>
      <c r="K47" s="35">
        <v>6711.38</v>
      </c>
      <c r="L47" s="35">
        <v>7006.12</v>
      </c>
      <c r="M47" s="35">
        <v>7006.12</v>
      </c>
      <c r="N47" s="35">
        <v>7006.11</v>
      </c>
      <c r="O47" s="35">
        <v>7006.12</v>
      </c>
      <c r="P47" s="35">
        <v>7006.11</v>
      </c>
      <c r="Q47" s="35">
        <v>6896.12</v>
      </c>
      <c r="R47" s="35">
        <v>9874.68</v>
      </c>
      <c r="S47" s="35">
        <f>+I47+J47+K47+L47+M47+N47+O47+P47+Q47+R47</f>
        <v>72118.760000000009</v>
      </c>
      <c r="T47" s="139">
        <f>+G47-S47</f>
        <v>27022.239999999991</v>
      </c>
      <c r="U47" s="35"/>
    </row>
    <row r="48" spans="1:22" ht="15.75">
      <c r="A48" s="15"/>
      <c r="B48" s="15"/>
      <c r="C48" s="19"/>
      <c r="D48" s="15"/>
      <c r="E48" s="15"/>
      <c r="F48" s="101"/>
      <c r="G48" s="34"/>
      <c r="H48" s="34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>
        <f>+I48+J48+K48+L48+M48+N48+O48+P48+Q48+R48</f>
        <v>0</v>
      </c>
      <c r="T48" s="139"/>
      <c r="U48" s="65"/>
    </row>
    <row r="49" spans="1:22" ht="32.25" thickBot="1">
      <c r="A49" s="15">
        <v>2</v>
      </c>
      <c r="B49" s="15">
        <v>2</v>
      </c>
      <c r="C49" s="19"/>
      <c r="D49" s="15"/>
      <c r="E49" s="20"/>
      <c r="F49" s="104" t="s">
        <v>36</v>
      </c>
      <c r="G49" s="21">
        <f t="shared" ref="G49:T49" si="16">G50+G58+G62+G66+G70+G84+G92+G79+G107</f>
        <v>16074551</v>
      </c>
      <c r="H49" s="21">
        <f>H50+H58+H62+H66+H70+H84+H92+H79+H107</f>
        <v>4775833</v>
      </c>
      <c r="I49" s="22">
        <f t="shared" si="16"/>
        <v>1468604.53</v>
      </c>
      <c r="J49" s="22">
        <f>J50+J58+J62+J66+J70+J84+J92+J79+J107</f>
        <v>1993285.58</v>
      </c>
      <c r="K49" s="22">
        <f t="shared" si="16"/>
        <v>1457616.9300000002</v>
      </c>
      <c r="L49" s="22">
        <f t="shared" si="16"/>
        <v>1332599.6100000001</v>
      </c>
      <c r="M49" s="22">
        <f t="shared" si="16"/>
        <v>1840059.2000000002</v>
      </c>
      <c r="N49" s="22">
        <f t="shared" si="16"/>
        <v>1459476.86</v>
      </c>
      <c r="O49" s="22">
        <f t="shared" si="16"/>
        <v>1528311.11</v>
      </c>
      <c r="P49" s="22">
        <f t="shared" si="16"/>
        <v>1448269.3100000003</v>
      </c>
      <c r="Q49" s="22">
        <f t="shared" si="16"/>
        <v>1787547.3299999998</v>
      </c>
      <c r="R49" s="22">
        <f t="shared" si="16"/>
        <v>1401633.8900000001</v>
      </c>
      <c r="S49" s="22">
        <f t="shared" si="16"/>
        <v>15717404.35</v>
      </c>
      <c r="T49" s="87">
        <f t="shared" si="16"/>
        <v>357146.65000000119</v>
      </c>
      <c r="U49" s="2"/>
      <c r="V49" s="6"/>
    </row>
    <row r="50" spans="1:22" ht="16.5" thickBot="1">
      <c r="A50" s="15">
        <v>2</v>
      </c>
      <c r="B50" s="15">
        <v>2</v>
      </c>
      <c r="C50" s="19">
        <v>1</v>
      </c>
      <c r="D50" s="15"/>
      <c r="E50" s="20"/>
      <c r="F50" s="104" t="s">
        <v>37</v>
      </c>
      <c r="G50" s="23">
        <f t="shared" ref="G50:T50" si="17">G51+G52+G53+G55</f>
        <v>1385718</v>
      </c>
      <c r="H50" s="23">
        <f t="shared" si="17"/>
        <v>0</v>
      </c>
      <c r="I50" s="28">
        <f t="shared" si="17"/>
        <v>99503.51999999999</v>
      </c>
      <c r="J50" s="28">
        <f t="shared" si="17"/>
        <v>97254.39</v>
      </c>
      <c r="K50" s="28">
        <f t="shared" si="17"/>
        <v>122843.43000000001</v>
      </c>
      <c r="L50" s="28">
        <f t="shared" si="17"/>
        <v>105311.01999999999</v>
      </c>
      <c r="M50" s="28">
        <f t="shared" si="17"/>
        <v>99791.87</v>
      </c>
      <c r="N50" s="28">
        <f t="shared" si="17"/>
        <v>101376.07</v>
      </c>
      <c r="O50" s="28">
        <f t="shared" si="17"/>
        <v>104966.05</v>
      </c>
      <c r="P50" s="28">
        <f t="shared" si="17"/>
        <v>110479.8</v>
      </c>
      <c r="Q50" s="28">
        <f t="shared" si="17"/>
        <v>106312.76000000001</v>
      </c>
      <c r="R50" s="28">
        <f t="shared" si="17"/>
        <v>118506.14000000001</v>
      </c>
      <c r="S50" s="28">
        <f t="shared" si="17"/>
        <v>1066345.05</v>
      </c>
      <c r="T50" s="134">
        <f t="shared" si="17"/>
        <v>319372.94999999995</v>
      </c>
      <c r="U50" s="6"/>
    </row>
    <row r="51" spans="1:22" ht="15.75">
      <c r="A51" s="15">
        <v>2</v>
      </c>
      <c r="B51" s="15">
        <v>2</v>
      </c>
      <c r="C51" s="19">
        <v>1</v>
      </c>
      <c r="D51" s="15">
        <v>3</v>
      </c>
      <c r="E51" s="15"/>
      <c r="F51" s="105" t="s">
        <v>38</v>
      </c>
      <c r="G51" s="33">
        <v>315600</v>
      </c>
      <c r="H51" s="33"/>
      <c r="I51" s="36">
        <f>24838.79+29779.8</f>
        <v>54618.59</v>
      </c>
      <c r="J51" s="36">
        <f>24948.3+19739.29</f>
        <v>44687.59</v>
      </c>
      <c r="K51" s="36">
        <f>22269.59+25279.8</f>
        <v>47549.39</v>
      </c>
      <c r="L51" s="36">
        <f>22902.71+32267.89</f>
        <v>55170.6</v>
      </c>
      <c r="M51" s="36">
        <f>22290.64+24763.05</f>
        <v>47053.69</v>
      </c>
      <c r="N51" s="36">
        <f>22601.31+25279.8</f>
        <v>47881.11</v>
      </c>
      <c r="O51" s="36">
        <f>22351.25+25279.8</f>
        <v>47631.05</v>
      </c>
      <c r="P51" s="36">
        <f>25279.8+24046.27</f>
        <v>49326.07</v>
      </c>
      <c r="Q51" s="36">
        <f>22823.67+25279.8</f>
        <v>48103.47</v>
      </c>
      <c r="R51" s="36">
        <f>22427.97 +25279.8+10620</f>
        <v>58327.770000000004</v>
      </c>
      <c r="S51" s="36">
        <f>+I51+J51+K51+L51+M51+N51+O51+P51+Q51+R51</f>
        <v>500349.33000000007</v>
      </c>
      <c r="T51" s="140">
        <f>+G51-S51</f>
        <v>-184749.33000000007</v>
      </c>
      <c r="U51" s="65"/>
    </row>
    <row r="52" spans="1:22" ht="15.75">
      <c r="A52" s="15">
        <v>2</v>
      </c>
      <c r="B52" s="15">
        <v>2</v>
      </c>
      <c r="C52" s="19">
        <v>1</v>
      </c>
      <c r="D52" s="15">
        <v>4</v>
      </c>
      <c r="E52" s="15"/>
      <c r="F52" s="105" t="s">
        <v>39</v>
      </c>
      <c r="G52" s="34"/>
      <c r="H52" s="3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>
        <f>+I52+J52+K52+L52+M52+N52+O52+P52+Q52+R52</f>
        <v>0</v>
      </c>
      <c r="T52" s="139"/>
    </row>
    <row r="53" spans="1:22" ht="31.5">
      <c r="A53" s="15">
        <v>2</v>
      </c>
      <c r="B53" s="15">
        <v>2</v>
      </c>
      <c r="C53" s="19">
        <v>1</v>
      </c>
      <c r="D53" s="15">
        <v>5</v>
      </c>
      <c r="E53" s="15"/>
      <c r="F53" s="105" t="s">
        <v>40</v>
      </c>
      <c r="G53" s="34">
        <v>350118</v>
      </c>
      <c r="H53" s="34"/>
      <c r="I53" s="35"/>
      <c r="J53" s="35"/>
      <c r="K53" s="35">
        <f>18984+8478.74</f>
        <v>27462.739999999998</v>
      </c>
      <c r="L53" s="35"/>
      <c r="M53" s="35"/>
      <c r="N53" s="35"/>
      <c r="O53" s="35"/>
      <c r="P53" s="35"/>
      <c r="Q53" s="35"/>
      <c r="R53" s="35"/>
      <c r="S53" s="35">
        <f>+I53+J53+K53+L53+M53+N53+O53+P53+Q53+R53</f>
        <v>27462.739999999998</v>
      </c>
      <c r="T53" s="139">
        <f>+G53-S53</f>
        <v>322655.26</v>
      </c>
      <c r="U53" s="65"/>
    </row>
    <row r="54" spans="1:22" ht="15.75">
      <c r="A54" s="15"/>
      <c r="B54" s="15"/>
      <c r="C54" s="19"/>
      <c r="D54" s="15"/>
      <c r="E54" s="15"/>
      <c r="F54" s="105"/>
      <c r="G54" s="34"/>
      <c r="H54" s="34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139"/>
    </row>
    <row r="55" spans="1:22" ht="16.5" thickBot="1">
      <c r="A55" s="15">
        <v>2</v>
      </c>
      <c r="B55" s="15">
        <v>2</v>
      </c>
      <c r="C55" s="19">
        <v>1</v>
      </c>
      <c r="D55" s="15">
        <v>6</v>
      </c>
      <c r="E55" s="15"/>
      <c r="F55" s="99" t="s">
        <v>41</v>
      </c>
      <c r="G55" s="21">
        <f t="shared" ref="G55:T55" si="18">G56</f>
        <v>720000</v>
      </c>
      <c r="H55" s="21">
        <f t="shared" si="18"/>
        <v>0</v>
      </c>
      <c r="I55" s="39">
        <f t="shared" si="18"/>
        <v>44884.93</v>
      </c>
      <c r="J55" s="39">
        <f t="shared" si="18"/>
        <v>52566.8</v>
      </c>
      <c r="K55" s="39">
        <f t="shared" si="18"/>
        <v>47831.3</v>
      </c>
      <c r="L55" s="39">
        <f t="shared" si="18"/>
        <v>50140.42</v>
      </c>
      <c r="M55" s="39">
        <f t="shared" si="18"/>
        <v>52738.18</v>
      </c>
      <c r="N55" s="39">
        <f t="shared" si="18"/>
        <v>53494.96</v>
      </c>
      <c r="O55" s="39">
        <f t="shared" si="18"/>
        <v>57335</v>
      </c>
      <c r="P55" s="39">
        <f t="shared" si="18"/>
        <v>61153.73</v>
      </c>
      <c r="Q55" s="39">
        <f t="shared" si="18"/>
        <v>58209.29</v>
      </c>
      <c r="R55" s="39">
        <f t="shared" si="18"/>
        <v>60178.37</v>
      </c>
      <c r="S55" s="39">
        <f t="shared" si="18"/>
        <v>538532.98</v>
      </c>
      <c r="T55" s="143">
        <f t="shared" si="18"/>
        <v>181467.02000000002</v>
      </c>
    </row>
    <row r="56" spans="1:22" ht="15.75">
      <c r="A56" s="15">
        <v>2</v>
      </c>
      <c r="B56" s="15">
        <v>2</v>
      </c>
      <c r="C56" s="19">
        <v>1</v>
      </c>
      <c r="D56" s="15">
        <v>6</v>
      </c>
      <c r="E56" s="15">
        <v>1</v>
      </c>
      <c r="F56" s="105" t="s">
        <v>42</v>
      </c>
      <c r="G56" s="33">
        <v>720000</v>
      </c>
      <c r="H56" s="34"/>
      <c r="I56" s="35">
        <v>44884.93</v>
      </c>
      <c r="J56" s="36">
        <v>52566.8</v>
      </c>
      <c r="K56" s="36">
        <v>47831.3</v>
      </c>
      <c r="L56" s="36">
        <v>50140.42</v>
      </c>
      <c r="M56" s="36">
        <v>52738.18</v>
      </c>
      <c r="N56" s="36">
        <v>53494.96</v>
      </c>
      <c r="O56" s="36">
        <v>57335</v>
      </c>
      <c r="P56" s="36">
        <v>61153.73</v>
      </c>
      <c r="Q56" s="36">
        <v>58209.29</v>
      </c>
      <c r="R56" s="36">
        <v>60178.37</v>
      </c>
      <c r="S56" s="36">
        <f>+I56+J56+K56+L56+M56+N56+O56+P56+Q56+R56</f>
        <v>538532.98</v>
      </c>
      <c r="T56" s="140">
        <f>+G56-S56</f>
        <v>181467.02000000002</v>
      </c>
      <c r="U56" s="6"/>
    </row>
    <row r="57" spans="1:22" ht="15.75">
      <c r="A57" s="15"/>
      <c r="B57" s="15"/>
      <c r="C57" s="19"/>
      <c r="D57" s="15"/>
      <c r="E57" s="15"/>
      <c r="F57" s="105"/>
      <c r="G57" s="34"/>
      <c r="H57" s="34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139"/>
    </row>
    <row r="58" spans="1:22" ht="32.25" thickBot="1">
      <c r="A58" s="15">
        <v>2</v>
      </c>
      <c r="B58" s="15">
        <v>2</v>
      </c>
      <c r="C58" s="19">
        <v>2</v>
      </c>
      <c r="D58" s="15"/>
      <c r="E58" s="15"/>
      <c r="F58" s="99" t="s">
        <v>43</v>
      </c>
      <c r="G58" s="21">
        <f>SUM(G59:G60)</f>
        <v>160500</v>
      </c>
      <c r="H58" s="21">
        <f>SUM(H59:H60)</f>
        <v>0</v>
      </c>
      <c r="I58" s="28">
        <f>I59+I60</f>
        <v>7382</v>
      </c>
      <c r="J58" s="21">
        <f t="shared" ref="J58" si="19">SUM(J59:J60)</f>
        <v>160000</v>
      </c>
      <c r="K58" s="22">
        <f>K59+K60</f>
        <v>3525</v>
      </c>
      <c r="L58" s="22">
        <f t="shared" ref="L58:R58" si="20">L59+L60</f>
        <v>0</v>
      </c>
      <c r="M58" s="22">
        <f t="shared" si="20"/>
        <v>355705</v>
      </c>
      <c r="N58" s="22">
        <f t="shared" si="20"/>
        <v>0</v>
      </c>
      <c r="O58" s="22">
        <f t="shared" si="20"/>
        <v>0</v>
      </c>
      <c r="P58" s="22">
        <f t="shared" si="20"/>
        <v>0</v>
      </c>
      <c r="Q58" s="22">
        <f t="shared" si="20"/>
        <v>28953.599999999999</v>
      </c>
      <c r="R58" s="22">
        <f t="shared" si="20"/>
        <v>28913.98</v>
      </c>
      <c r="S58" s="144">
        <f>S59+S60</f>
        <v>584479.57999999996</v>
      </c>
      <c r="T58" s="145">
        <f>T59+T60</f>
        <v>-423979.57999999996</v>
      </c>
    </row>
    <row r="59" spans="1:22" ht="15.75">
      <c r="A59" s="15">
        <v>2</v>
      </c>
      <c r="B59" s="15">
        <v>2</v>
      </c>
      <c r="C59" s="19">
        <v>2</v>
      </c>
      <c r="D59" s="15">
        <v>1</v>
      </c>
      <c r="E59" s="15"/>
      <c r="F59" s="101" t="s">
        <v>44</v>
      </c>
      <c r="G59" s="33">
        <v>160500</v>
      </c>
      <c r="H59" s="33"/>
      <c r="I59" s="36">
        <v>3100</v>
      </c>
      <c r="J59" s="35">
        <v>160000</v>
      </c>
      <c r="K59" s="35">
        <v>3450</v>
      </c>
      <c r="L59" s="35"/>
      <c r="M59" s="35"/>
      <c r="N59" s="35"/>
      <c r="O59" s="35"/>
      <c r="P59" s="35"/>
      <c r="Q59" s="35"/>
      <c r="R59" s="35"/>
      <c r="S59" s="35">
        <f>+I59+J59+K59+L59+M59+N59+O59+P59+Q59+R59</f>
        <v>166550</v>
      </c>
      <c r="T59" s="139">
        <f>+G59-S59</f>
        <v>-6050</v>
      </c>
      <c r="U59" s="65"/>
    </row>
    <row r="60" spans="1:22" ht="31.5">
      <c r="A60" s="15">
        <v>2</v>
      </c>
      <c r="B60" s="15">
        <v>2</v>
      </c>
      <c r="C60" s="19">
        <v>2</v>
      </c>
      <c r="D60" s="15">
        <v>2</v>
      </c>
      <c r="E60" s="15"/>
      <c r="F60" s="101" t="s">
        <v>45</v>
      </c>
      <c r="G60" s="34"/>
      <c r="H60" s="34"/>
      <c r="I60" s="35">
        <v>4282</v>
      </c>
      <c r="J60" s="35"/>
      <c r="K60" s="35">
        <v>75</v>
      </c>
      <c r="L60" s="35"/>
      <c r="M60" s="35">
        <f>318007+37698</f>
        <v>355705</v>
      </c>
      <c r="N60" s="35"/>
      <c r="O60" s="35"/>
      <c r="P60" s="35"/>
      <c r="Q60" s="35">
        <f>12484.4+12484.4+1436+2548.8</f>
        <v>28953.599999999999</v>
      </c>
      <c r="R60" s="35">
        <f>19470+9443.98</f>
        <v>28913.98</v>
      </c>
      <c r="S60" s="35">
        <f>+I60+J60+K60+L60+M60+N60+O60+P60+Q60+R60</f>
        <v>417929.57999999996</v>
      </c>
      <c r="T60" s="139">
        <f>+G60-S60</f>
        <v>-417929.57999999996</v>
      </c>
      <c r="U60" s="65"/>
    </row>
    <row r="61" spans="1:22" ht="15.75">
      <c r="A61" s="15"/>
      <c r="B61" s="15"/>
      <c r="C61" s="19"/>
      <c r="D61" s="15"/>
      <c r="E61" s="15"/>
      <c r="F61" s="105"/>
      <c r="G61" s="34"/>
      <c r="H61" s="34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139"/>
    </row>
    <row r="62" spans="1:22" ht="16.5" thickBot="1">
      <c r="A62" s="15">
        <v>2</v>
      </c>
      <c r="B62" s="15">
        <v>2</v>
      </c>
      <c r="C62" s="19">
        <v>3</v>
      </c>
      <c r="D62" s="15"/>
      <c r="E62" s="15"/>
      <c r="F62" s="99" t="s">
        <v>46</v>
      </c>
      <c r="G62" s="21">
        <f t="shared" ref="G62:T62" si="21">G63+G64</f>
        <v>1320000</v>
      </c>
      <c r="H62" s="21">
        <f t="shared" si="21"/>
        <v>0</v>
      </c>
      <c r="I62" s="22">
        <f t="shared" si="21"/>
        <v>140425.9</v>
      </c>
      <c r="J62" s="22">
        <f t="shared" si="21"/>
        <v>166019.91999999998</v>
      </c>
      <c r="K62" s="22">
        <f t="shared" si="21"/>
        <v>163623.79999999999</v>
      </c>
      <c r="L62" s="22">
        <f t="shared" si="21"/>
        <v>116340</v>
      </c>
      <c r="M62" s="22">
        <f t="shared" si="21"/>
        <v>151740</v>
      </c>
      <c r="N62" s="22">
        <f t="shared" si="21"/>
        <v>138080</v>
      </c>
      <c r="O62" s="22">
        <f t="shared" si="21"/>
        <v>126680</v>
      </c>
      <c r="P62" s="22">
        <f t="shared" si="21"/>
        <v>143000</v>
      </c>
      <c r="Q62" s="22">
        <f>Q63+Q64</f>
        <v>138710</v>
      </c>
      <c r="R62" s="22">
        <f>R63+R64</f>
        <v>119998.7</v>
      </c>
      <c r="S62" s="22">
        <f t="shared" si="21"/>
        <v>1404618.3199999998</v>
      </c>
      <c r="T62" s="87">
        <f t="shared" si="21"/>
        <v>-84618.319999999949</v>
      </c>
    </row>
    <row r="63" spans="1:22" ht="15.75">
      <c r="A63" s="15">
        <v>2</v>
      </c>
      <c r="B63" s="15">
        <v>2</v>
      </c>
      <c r="C63" s="19">
        <v>3</v>
      </c>
      <c r="D63" s="15">
        <v>1</v>
      </c>
      <c r="E63" s="42"/>
      <c r="F63" s="101" t="s">
        <v>47</v>
      </c>
      <c r="G63" s="43">
        <v>1320000</v>
      </c>
      <c r="H63" s="43"/>
      <c r="I63" s="38">
        <f>2800+4800+4800+5280+4800+4763.9+7200+5760+5600+4800+4000+4000+5500+5500+7260+6600+4622+6600+4400+8640+7200+9900+7200+8400</f>
        <v>140425.9</v>
      </c>
      <c r="J63" s="38">
        <f>6600+6600+4400+6600+5500+5157+7920+5500+7700+3300+6600+9900+4800+4000+7200+4200+5760+5940+4800+4000+3479+3200+5600+4800</f>
        <v>133556</v>
      </c>
      <c r="K63" s="38">
        <f>7920+5000+6600+6050+7700+9900+6600+4950+6600+4800+5183.8+5500+6000+8580+6000+4800+6000+7200+8400+6000+7200+7200+8640+10800</f>
        <v>163623.79999999999</v>
      </c>
      <c r="L63" s="38">
        <f>5280+1500+4800+1500+4800+4000+4800+4800+5760+7200+4000+3600+6000+6000+6000+9000+7000+6600+5000+6000+5000+5000+2700</f>
        <v>116340</v>
      </c>
      <c r="M63" s="38">
        <f>6000+6000+7000+7200+6000+5500+9000+5000+5000+2400+5000+6600+1000+6000+6000+7920+10800+6600+6000+7200+8400+7200+6000+7920</f>
        <v>151740</v>
      </c>
      <c r="N63" s="38">
        <f>4000+4900+5760+5400+4500+4500+5400+7200+4000+5400+5940+5400+1500+6600+6600+6600+4000+7260+7920+5500+5500+9900+7700+6600</f>
        <v>138080</v>
      </c>
      <c r="O63" s="38">
        <f>9000+5000+6000+7200+6000+6000+3300+7000+4500+6000+7700+7920+6600+9000+7260+6600+5500+6000+3500+6600</f>
        <v>126680</v>
      </c>
      <c r="P63" s="38">
        <f>6500+6300+8100+5940+5400+5400+4500+5400+4500+5400+4500+6480+6600+5000+5500+7700+6600+6660+7920+6600+9900+6600+5500</f>
        <v>143000</v>
      </c>
      <c r="Q63" s="38">
        <f>6600+7260+6600+7700+5500+5500+9900+5500+7920+6600+6600+1000+1800+6600+5400+6000+5000+4500+6000+1700+2500+7200+8100+4500</f>
        <v>135980</v>
      </c>
      <c r="R63" s="38">
        <v>500</v>
      </c>
      <c r="S63" s="38">
        <f>+I63+J63+K63+L63+M63+N63+O63+P63+Q63+R63</f>
        <v>1249925.7</v>
      </c>
      <c r="T63" s="136">
        <f t="shared" ref="T63:T69" si="22">+G63-S63</f>
        <v>70074.300000000047</v>
      </c>
      <c r="U63" s="65"/>
    </row>
    <row r="64" spans="1:22" ht="15.75">
      <c r="A64" s="15">
        <v>2</v>
      </c>
      <c r="B64" s="15">
        <v>2</v>
      </c>
      <c r="C64" s="19">
        <v>3</v>
      </c>
      <c r="D64" s="15">
        <v>2</v>
      </c>
      <c r="E64" s="42"/>
      <c r="F64" s="101" t="s">
        <v>48</v>
      </c>
      <c r="G64" s="34"/>
      <c r="H64" s="34"/>
      <c r="I64" s="35"/>
      <c r="J64" s="35">
        <v>32463.919999999998</v>
      </c>
      <c r="K64" s="35"/>
      <c r="L64" s="35"/>
      <c r="M64" s="35"/>
      <c r="N64" s="35"/>
      <c r="O64" s="35"/>
      <c r="P64" s="35"/>
      <c r="Q64" s="35">
        <v>2730</v>
      </c>
      <c r="R64" s="35">
        <v>119498.7</v>
      </c>
      <c r="S64" s="35">
        <f>+I64+J64+K64+L64+M64+N64+O64+P64+Q64+R64</f>
        <v>154692.62</v>
      </c>
      <c r="T64" s="139">
        <f t="shared" si="22"/>
        <v>-154692.62</v>
      </c>
      <c r="U64" s="65"/>
    </row>
    <row r="65" spans="1:21" ht="15.75">
      <c r="A65" s="15"/>
      <c r="B65" s="15"/>
      <c r="C65" s="19"/>
      <c r="D65" s="15"/>
      <c r="E65" s="15"/>
      <c r="F65" s="101"/>
      <c r="G65" s="34"/>
      <c r="H65" s="34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139">
        <f t="shared" si="22"/>
        <v>0</v>
      </c>
    </row>
    <row r="66" spans="1:21" ht="16.5" thickBot="1">
      <c r="A66" s="15">
        <v>2</v>
      </c>
      <c r="B66" s="15">
        <v>2</v>
      </c>
      <c r="C66" s="19">
        <v>4</v>
      </c>
      <c r="D66" s="15"/>
      <c r="E66" s="15"/>
      <c r="F66" s="99" t="s">
        <v>49</v>
      </c>
      <c r="G66" s="21">
        <f t="shared" ref="G66:R66" si="23">G67+G68</f>
        <v>0</v>
      </c>
      <c r="H66" s="21">
        <f t="shared" si="23"/>
        <v>0</v>
      </c>
      <c r="I66" s="22">
        <f t="shared" si="23"/>
        <v>1170</v>
      </c>
      <c r="J66" s="22">
        <f t="shared" si="23"/>
        <v>230466.47</v>
      </c>
      <c r="K66" s="22">
        <f t="shared" si="23"/>
        <v>900</v>
      </c>
      <c r="L66" s="22">
        <f t="shared" si="23"/>
        <v>0</v>
      </c>
      <c r="M66" s="22">
        <f t="shared" si="23"/>
        <v>2100</v>
      </c>
      <c r="N66" s="22">
        <f t="shared" si="23"/>
        <v>400</v>
      </c>
      <c r="O66" s="22">
        <f t="shared" si="23"/>
        <v>750</v>
      </c>
      <c r="P66" s="22">
        <f t="shared" si="23"/>
        <v>540</v>
      </c>
      <c r="Q66" s="22">
        <f t="shared" si="23"/>
        <v>0</v>
      </c>
      <c r="R66" s="22">
        <f t="shared" si="23"/>
        <v>0</v>
      </c>
      <c r="S66" s="22">
        <f>S67+S68</f>
        <v>236326.47</v>
      </c>
      <c r="T66" s="87">
        <f t="shared" si="22"/>
        <v>-236326.47</v>
      </c>
      <c r="U66" s="28"/>
    </row>
    <row r="67" spans="1:21" ht="15.75">
      <c r="A67" s="15">
        <v>2</v>
      </c>
      <c r="B67" s="15">
        <v>2</v>
      </c>
      <c r="C67" s="19">
        <v>4</v>
      </c>
      <c r="D67" s="15">
        <v>1</v>
      </c>
      <c r="E67" s="15"/>
      <c r="F67" s="101" t="s">
        <v>50</v>
      </c>
      <c r="G67" s="33"/>
      <c r="H67" s="34"/>
      <c r="I67" s="35">
        <f>240+500+430</f>
        <v>1170</v>
      </c>
      <c r="J67" s="35">
        <f>220981.47+1000+500+125+360+7500</f>
        <v>230466.47</v>
      </c>
      <c r="K67" s="146">
        <f>250+300+200+150</f>
        <v>900</v>
      </c>
      <c r="L67" s="146"/>
      <c r="M67" s="146">
        <f>550+300+250+1000</f>
        <v>2100</v>
      </c>
      <c r="N67" s="146">
        <f>300+100</f>
        <v>400</v>
      </c>
      <c r="O67" s="146">
        <f>150+600</f>
        <v>750</v>
      </c>
      <c r="P67" s="146">
        <v>540</v>
      </c>
      <c r="Q67" s="35"/>
      <c r="R67" s="35"/>
      <c r="S67" s="35">
        <f>+I67+J67+K67+L67+M67+N67+O67+P67+Q67+R67</f>
        <v>236326.47</v>
      </c>
      <c r="T67" s="139">
        <f t="shared" si="22"/>
        <v>-236326.47</v>
      </c>
      <c r="U67" s="65"/>
    </row>
    <row r="68" spans="1:21" ht="15.75">
      <c r="A68" s="15">
        <v>2</v>
      </c>
      <c r="B68" s="15">
        <v>2</v>
      </c>
      <c r="C68" s="19">
        <v>4</v>
      </c>
      <c r="D68" s="15">
        <v>3</v>
      </c>
      <c r="E68" s="15"/>
      <c r="F68" s="101" t="s">
        <v>51</v>
      </c>
      <c r="G68" s="34"/>
      <c r="H68" s="34"/>
      <c r="I68" s="35">
        <v>0</v>
      </c>
      <c r="J68" s="35"/>
      <c r="K68" s="35"/>
      <c r="L68" s="35"/>
      <c r="M68" s="35"/>
      <c r="N68" s="35"/>
      <c r="O68" s="35"/>
      <c r="P68" s="35"/>
      <c r="Q68" s="35"/>
      <c r="R68" s="35"/>
      <c r="S68" s="35">
        <f>+J68+K68+L68+M68+N68+I68+O68+P68+Q68+R68</f>
        <v>0</v>
      </c>
      <c r="T68" s="139">
        <f t="shared" si="22"/>
        <v>0</v>
      </c>
    </row>
    <row r="69" spans="1:21" ht="15.75">
      <c r="A69" s="15"/>
      <c r="B69" s="15"/>
      <c r="C69" s="19"/>
      <c r="D69" s="15"/>
      <c r="E69" s="15"/>
      <c r="F69" s="101"/>
      <c r="G69" s="34"/>
      <c r="H69" s="34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139">
        <f t="shared" si="22"/>
        <v>0</v>
      </c>
    </row>
    <row r="70" spans="1:21" ht="16.5" thickBot="1">
      <c r="A70" s="15">
        <v>2</v>
      </c>
      <c r="B70" s="15">
        <v>2</v>
      </c>
      <c r="C70" s="19">
        <v>5</v>
      </c>
      <c r="D70" s="15"/>
      <c r="E70" s="15"/>
      <c r="F70" s="99" t="s">
        <v>52</v>
      </c>
      <c r="G70" s="21">
        <f>G71+G76</f>
        <v>8800384</v>
      </c>
      <c r="H70" s="21">
        <f>H71+H76</f>
        <v>0</v>
      </c>
      <c r="I70" s="28">
        <f t="shared" ref="I70:T70" si="24">I73+I71</f>
        <v>747472.03</v>
      </c>
      <c r="J70" s="28">
        <f t="shared" si="24"/>
        <v>752827.45</v>
      </c>
      <c r="K70" s="28">
        <f t="shared" si="24"/>
        <v>737953.5</v>
      </c>
      <c r="L70" s="28">
        <f t="shared" si="24"/>
        <v>730342.89999999991</v>
      </c>
      <c r="M70" s="28">
        <f t="shared" si="24"/>
        <v>726027.93</v>
      </c>
      <c r="N70" s="28">
        <f t="shared" si="24"/>
        <v>726892.78</v>
      </c>
      <c r="O70" s="28">
        <f t="shared" si="24"/>
        <v>737779.19999999995</v>
      </c>
      <c r="P70" s="28">
        <f t="shared" si="24"/>
        <v>748490.04</v>
      </c>
      <c r="Q70" s="28">
        <f t="shared" si="24"/>
        <v>755884.1</v>
      </c>
      <c r="R70" s="28">
        <f t="shared" si="24"/>
        <v>756825.52</v>
      </c>
      <c r="S70" s="28">
        <f>S73+S71</f>
        <v>7420495.4499999993</v>
      </c>
      <c r="T70" s="134">
        <f t="shared" si="24"/>
        <v>1379888.5500000007</v>
      </c>
    </row>
    <row r="71" spans="1:21" ht="31.5">
      <c r="A71" s="15">
        <v>2</v>
      </c>
      <c r="B71" s="15">
        <v>2</v>
      </c>
      <c r="C71" s="19">
        <v>5</v>
      </c>
      <c r="D71" s="15">
        <v>1</v>
      </c>
      <c r="E71" s="15"/>
      <c r="F71" s="105" t="s">
        <v>53</v>
      </c>
      <c r="G71" s="33">
        <v>8686396</v>
      </c>
      <c r="H71" s="33"/>
      <c r="I71" s="36">
        <f>722696.37+16515.66</f>
        <v>739212.03</v>
      </c>
      <c r="J71" s="36">
        <f>727932.13+16635.32</f>
        <v>744567.45</v>
      </c>
      <c r="K71" s="36">
        <f>16303+713390.5</f>
        <v>729693.5</v>
      </c>
      <c r="L71" s="36">
        <f>705949.94+16132.96</f>
        <v>722082.89999999991</v>
      </c>
      <c r="M71" s="36">
        <f>16036.55+701731.38</f>
        <v>717767.93</v>
      </c>
      <c r="N71" s="36">
        <f>16055.88+702576.9</f>
        <v>718632.78</v>
      </c>
      <c r="O71" s="36">
        <f>713220.1+16299.1</f>
        <v>729519.2</v>
      </c>
      <c r="P71" s="36">
        <f>16538.41+723691.63</f>
        <v>740230.04</v>
      </c>
      <c r="Q71" s="36">
        <f>16703.61+730920.49</f>
        <v>747624.1</v>
      </c>
      <c r="R71" s="36">
        <f>731840.88+16724.64</f>
        <v>748565.52</v>
      </c>
      <c r="S71" s="36">
        <f>+I71+J71+K71+L71+M71+N71+O71+P71+Q71+R71</f>
        <v>7337895.4499999993</v>
      </c>
      <c r="T71" s="140">
        <f>+G71-S71</f>
        <v>1348500.5500000007</v>
      </c>
      <c r="U71" s="6"/>
    </row>
    <row r="72" spans="1:21" ht="15.75">
      <c r="A72" s="15"/>
      <c r="B72" s="15"/>
      <c r="C72" s="19"/>
      <c r="D72" s="15"/>
      <c r="E72" s="42"/>
      <c r="F72" s="101"/>
      <c r="G72" s="34"/>
      <c r="H72" s="34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139"/>
    </row>
    <row r="73" spans="1:21" ht="32.25" thickBot="1">
      <c r="A73" s="15">
        <v>2</v>
      </c>
      <c r="B73" s="15">
        <v>2</v>
      </c>
      <c r="C73" s="19">
        <v>5</v>
      </c>
      <c r="D73" s="15">
        <v>3</v>
      </c>
      <c r="E73" s="20"/>
      <c r="F73" s="99" t="s">
        <v>54</v>
      </c>
      <c r="G73" s="21">
        <f t="shared" ref="G73:T73" si="25">G74+G75+G76</f>
        <v>113988</v>
      </c>
      <c r="H73" s="21">
        <f t="shared" si="25"/>
        <v>0</v>
      </c>
      <c r="I73" s="22">
        <f t="shared" si="25"/>
        <v>8260</v>
      </c>
      <c r="J73" s="22">
        <f>J74+J75+J76</f>
        <v>8260</v>
      </c>
      <c r="K73" s="22">
        <f t="shared" si="25"/>
        <v>8260</v>
      </c>
      <c r="L73" s="22">
        <f t="shared" si="25"/>
        <v>8260</v>
      </c>
      <c r="M73" s="22">
        <f t="shared" si="25"/>
        <v>8260</v>
      </c>
      <c r="N73" s="22">
        <f t="shared" si="25"/>
        <v>8260</v>
      </c>
      <c r="O73" s="22">
        <f t="shared" si="25"/>
        <v>8260</v>
      </c>
      <c r="P73" s="22">
        <f t="shared" si="25"/>
        <v>8260</v>
      </c>
      <c r="Q73" s="22">
        <f t="shared" si="25"/>
        <v>8260</v>
      </c>
      <c r="R73" s="22">
        <f t="shared" si="25"/>
        <v>8260</v>
      </c>
      <c r="S73" s="22">
        <f t="shared" si="25"/>
        <v>82600</v>
      </c>
      <c r="T73" s="87">
        <f t="shared" si="25"/>
        <v>31388</v>
      </c>
    </row>
    <row r="74" spans="1:21" ht="15.75">
      <c r="A74" s="15">
        <v>2</v>
      </c>
      <c r="B74" s="15">
        <v>2</v>
      </c>
      <c r="C74" s="19">
        <v>5</v>
      </c>
      <c r="D74" s="15">
        <v>3</v>
      </c>
      <c r="E74" s="15">
        <v>2</v>
      </c>
      <c r="F74" s="105" t="s">
        <v>55</v>
      </c>
      <c r="G74" s="33"/>
      <c r="H74" s="34"/>
      <c r="I74" s="35">
        <v>0</v>
      </c>
      <c r="J74" s="35"/>
      <c r="K74" s="35"/>
      <c r="L74" s="35"/>
      <c r="M74" s="35"/>
      <c r="N74" s="35"/>
      <c r="O74" s="35"/>
      <c r="P74" s="35"/>
      <c r="Q74" s="35"/>
      <c r="R74" s="35"/>
      <c r="S74" s="35">
        <f>+I74+J74+K74+L74+M74+N74+O74+P74+Q74+R74</f>
        <v>0</v>
      </c>
      <c r="T74" s="139">
        <f>+G74-S74</f>
        <v>0</v>
      </c>
    </row>
    <row r="75" spans="1:21" ht="31.5">
      <c r="A75" s="15">
        <v>2</v>
      </c>
      <c r="B75" s="15">
        <v>2</v>
      </c>
      <c r="C75" s="19">
        <v>5</v>
      </c>
      <c r="D75" s="15">
        <v>3</v>
      </c>
      <c r="E75" s="15">
        <v>3</v>
      </c>
      <c r="F75" s="105" t="s">
        <v>56</v>
      </c>
      <c r="G75" s="34"/>
      <c r="H75" s="34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>
        <f>+I75+J75+K75+L75+M75+N75+O75+P75+Q75+R75</f>
        <v>0</v>
      </c>
      <c r="T75" s="139">
        <f>+G75-S75</f>
        <v>0</v>
      </c>
    </row>
    <row r="76" spans="1:21" ht="31.5">
      <c r="A76" s="15">
        <v>2</v>
      </c>
      <c r="B76" s="15">
        <v>2</v>
      </c>
      <c r="C76" s="19">
        <v>5</v>
      </c>
      <c r="D76" s="15">
        <v>3</v>
      </c>
      <c r="E76" s="15">
        <v>4</v>
      </c>
      <c r="F76" s="105" t="s">
        <v>57</v>
      </c>
      <c r="G76" s="34">
        <v>113988</v>
      </c>
      <c r="H76" s="34"/>
      <c r="I76" s="35">
        <v>8260</v>
      </c>
      <c r="J76" s="61">
        <v>8260</v>
      </c>
      <c r="K76" s="61">
        <v>8260</v>
      </c>
      <c r="L76" s="61">
        <v>8260</v>
      </c>
      <c r="M76" s="61">
        <v>8260</v>
      </c>
      <c r="N76" s="61">
        <v>8260</v>
      </c>
      <c r="O76" s="61">
        <v>8260</v>
      </c>
      <c r="P76" s="61">
        <v>8260</v>
      </c>
      <c r="Q76" s="61">
        <v>8260</v>
      </c>
      <c r="R76" s="61">
        <v>8260</v>
      </c>
      <c r="S76" s="35">
        <f>+I76+J76+K76+L76+M76+N76+O76+P76+Q76+R76</f>
        <v>82600</v>
      </c>
      <c r="T76" s="139">
        <f>+G76-S76</f>
        <v>31388</v>
      </c>
    </row>
    <row r="77" spans="1:21" ht="15.75">
      <c r="A77" s="15"/>
      <c r="B77" s="15"/>
      <c r="C77" s="19"/>
      <c r="D77" s="15"/>
      <c r="E77" s="15"/>
      <c r="F77" s="105"/>
      <c r="G77" s="34"/>
      <c r="H77" s="34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139"/>
    </row>
    <row r="78" spans="1:21" ht="16.5" thickBot="1">
      <c r="A78" s="15"/>
      <c r="B78" s="15"/>
      <c r="C78" s="19"/>
      <c r="D78" s="15"/>
      <c r="E78" s="15"/>
      <c r="F78" s="105"/>
      <c r="G78" s="34"/>
      <c r="H78" s="34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139"/>
    </row>
    <row r="79" spans="1:21" s="3" customFormat="1" ht="16.5" thickBot="1">
      <c r="A79" s="15">
        <v>2</v>
      </c>
      <c r="B79" s="15">
        <v>2</v>
      </c>
      <c r="C79" s="19">
        <v>6</v>
      </c>
      <c r="D79" s="15"/>
      <c r="E79" s="15"/>
      <c r="F79" s="105" t="s">
        <v>58</v>
      </c>
      <c r="G79" s="23">
        <f t="shared" ref="G79:T79" si="26">G81+G80</f>
        <v>1721149</v>
      </c>
      <c r="H79" s="23">
        <f t="shared" si="26"/>
        <v>260000</v>
      </c>
      <c r="I79" s="24">
        <f t="shared" si="26"/>
        <v>115067.34</v>
      </c>
      <c r="J79" s="24">
        <f t="shared" si="26"/>
        <v>105567</v>
      </c>
      <c r="K79" s="24">
        <f t="shared" si="26"/>
        <v>104873.85</v>
      </c>
      <c r="L79" s="24">
        <f t="shared" si="26"/>
        <v>101284.83</v>
      </c>
      <c r="M79" s="24">
        <f>M81+M80</f>
        <v>206258.3</v>
      </c>
      <c r="N79" s="24">
        <f t="shared" si="26"/>
        <v>113934.58</v>
      </c>
      <c r="O79" s="24">
        <f>O81+O80</f>
        <v>113934.58</v>
      </c>
      <c r="P79" s="24">
        <f>P81+P80</f>
        <v>113934.58</v>
      </c>
      <c r="Q79" s="24">
        <f>Q81+Q80</f>
        <v>113934.58</v>
      </c>
      <c r="R79" s="24">
        <f>R81+R80</f>
        <v>111206.7</v>
      </c>
      <c r="S79" s="24">
        <f>S81+S80</f>
        <v>1199996.3399999999</v>
      </c>
      <c r="T79" s="141">
        <f t="shared" si="26"/>
        <v>521152.66000000015</v>
      </c>
    </row>
    <row r="80" spans="1:21" ht="16.5" thickBot="1">
      <c r="A80" s="44">
        <v>2</v>
      </c>
      <c r="B80" s="44">
        <v>2</v>
      </c>
      <c r="C80" s="45">
        <v>6</v>
      </c>
      <c r="D80" s="44">
        <v>2</v>
      </c>
      <c r="E80" s="44">
        <v>1</v>
      </c>
      <c r="F80" s="106" t="s">
        <v>113</v>
      </c>
      <c r="G80" s="63">
        <v>91078</v>
      </c>
      <c r="H80" s="63"/>
      <c r="I80" s="26"/>
      <c r="J80" s="26"/>
      <c r="K80" s="26"/>
      <c r="L80" s="26"/>
      <c r="M80" s="26">
        <v>92323.72</v>
      </c>
      <c r="N80" s="26"/>
      <c r="O80" s="26"/>
      <c r="P80" s="26"/>
      <c r="Q80" s="26"/>
      <c r="R80" s="26"/>
      <c r="S80" s="147">
        <f>+I80+J80+K80+L80+M80+N80+O80+P80+Q80+R80</f>
        <v>92323.72</v>
      </c>
      <c r="T80" s="142">
        <f>+G80-S80</f>
        <v>-1245.7200000000012</v>
      </c>
      <c r="U80" s="65"/>
    </row>
    <row r="81" spans="1:21" ht="15.75">
      <c r="A81" s="15">
        <v>2</v>
      </c>
      <c r="B81" s="15">
        <v>2</v>
      </c>
      <c r="C81" s="19">
        <v>6</v>
      </c>
      <c r="D81" s="15">
        <v>3</v>
      </c>
      <c r="E81" s="15">
        <v>1</v>
      </c>
      <c r="F81" s="105" t="s">
        <v>59</v>
      </c>
      <c r="G81" s="34">
        <v>1630071</v>
      </c>
      <c r="H81" s="34">
        <v>260000</v>
      </c>
      <c r="I81" s="35">
        <v>115067.34</v>
      </c>
      <c r="J81" s="35">
        <v>105567</v>
      </c>
      <c r="K81" s="35">
        <v>104873.85</v>
      </c>
      <c r="L81" s="35">
        <v>101284.83</v>
      </c>
      <c r="M81" s="35">
        <v>113934.58</v>
      </c>
      <c r="N81" s="35">
        <v>113934.58</v>
      </c>
      <c r="O81" s="35">
        <v>113934.58</v>
      </c>
      <c r="P81" s="35">
        <v>113934.58</v>
      </c>
      <c r="Q81" s="35">
        <v>113934.58</v>
      </c>
      <c r="R81" s="35">
        <v>111206.7</v>
      </c>
      <c r="S81" s="35">
        <f>+I81+J81+K81+L81+M81+N81+O81+P81+Q81+R81</f>
        <v>1107672.6199999999</v>
      </c>
      <c r="T81" s="139">
        <f>+G81-S81</f>
        <v>522398.38000000012</v>
      </c>
      <c r="U81" s="6"/>
    </row>
    <row r="82" spans="1:21" ht="15.75">
      <c r="A82" s="15"/>
      <c r="B82" s="15"/>
      <c r="C82" s="19"/>
      <c r="D82" s="15"/>
      <c r="E82" s="15"/>
      <c r="F82" s="105"/>
      <c r="G82" s="34"/>
      <c r="H82" s="34"/>
      <c r="I82" s="35">
        <v>0</v>
      </c>
      <c r="J82" s="35"/>
      <c r="K82" s="35"/>
      <c r="L82" s="35"/>
      <c r="M82" s="35"/>
      <c r="N82" s="35"/>
      <c r="O82" s="35"/>
      <c r="P82" s="35"/>
      <c r="Q82" s="35"/>
      <c r="R82" s="35"/>
      <c r="S82" s="35">
        <f>+J82+I82+K82+L82+M82+N82+O82+P82+Q82+R82</f>
        <v>0</v>
      </c>
      <c r="T82" s="139">
        <v>0</v>
      </c>
    </row>
    <row r="83" spans="1:21" ht="15.75">
      <c r="A83" s="15"/>
      <c r="B83" s="15"/>
      <c r="C83" s="19"/>
      <c r="D83" s="15"/>
      <c r="E83" s="15"/>
      <c r="F83" s="105"/>
      <c r="G83" s="34"/>
      <c r="H83" s="34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139"/>
    </row>
    <row r="84" spans="1:21" ht="48" thickBot="1">
      <c r="A84" s="15">
        <v>2</v>
      </c>
      <c r="B84" s="15">
        <v>2</v>
      </c>
      <c r="C84" s="19">
        <v>7</v>
      </c>
      <c r="D84" s="15"/>
      <c r="E84" s="20"/>
      <c r="F84" s="99" t="s">
        <v>60</v>
      </c>
      <c r="G84" s="27">
        <f>G85</f>
        <v>218000</v>
      </c>
      <c r="H84" s="27">
        <f>H85</f>
        <v>0</v>
      </c>
      <c r="I84" s="28">
        <f>SUM(I87:I91)</f>
        <v>8333</v>
      </c>
      <c r="J84" s="28">
        <f>SUM(J86:J91)</f>
        <v>24521</v>
      </c>
      <c r="K84" s="28">
        <f t="shared" ref="K84:R84" si="27">SUM(K86:K91)</f>
        <v>0</v>
      </c>
      <c r="L84" s="28">
        <f t="shared" si="27"/>
        <v>0</v>
      </c>
      <c r="M84" s="28">
        <f t="shared" si="27"/>
        <v>8474.58</v>
      </c>
      <c r="N84" s="28">
        <f t="shared" si="27"/>
        <v>600</v>
      </c>
      <c r="O84" s="28">
        <f t="shared" si="27"/>
        <v>53122</v>
      </c>
      <c r="P84" s="28">
        <f t="shared" si="27"/>
        <v>21378.299999999996</v>
      </c>
      <c r="Q84" s="28">
        <f t="shared" si="27"/>
        <v>1100</v>
      </c>
      <c r="R84" s="28">
        <f t="shared" si="27"/>
        <v>1800</v>
      </c>
      <c r="S84" s="28">
        <f>SUM(S86:S91)</f>
        <v>119328.88</v>
      </c>
      <c r="T84" s="134">
        <f t="shared" ref="T84" si="28">SUM(T86:T91)</f>
        <v>98671.12</v>
      </c>
    </row>
    <row r="85" spans="1:21" ht="32.25" thickBot="1">
      <c r="A85" s="15">
        <v>2</v>
      </c>
      <c r="B85" s="15">
        <v>2</v>
      </c>
      <c r="C85" s="19">
        <v>7</v>
      </c>
      <c r="D85" s="15">
        <v>2</v>
      </c>
      <c r="E85" s="20"/>
      <c r="F85" s="99" t="s">
        <v>61</v>
      </c>
      <c r="G85" s="23">
        <f>SUM(G87:G90)</f>
        <v>218000</v>
      </c>
      <c r="H85" s="23">
        <f>SUM(H87:H90)</f>
        <v>0</v>
      </c>
      <c r="I85" s="23">
        <f t="shared" ref="I85" si="29">SUM(I87:I90)</f>
        <v>8333</v>
      </c>
      <c r="J85" s="23">
        <f>SUM(J86:J90)</f>
        <v>24521</v>
      </c>
      <c r="K85" s="23">
        <f t="shared" ref="K85:N85" si="30">SUM(K86:K90)</f>
        <v>0</v>
      </c>
      <c r="L85" s="23">
        <f t="shared" si="30"/>
        <v>0</v>
      </c>
      <c r="M85" s="23">
        <f t="shared" si="30"/>
        <v>8474.58</v>
      </c>
      <c r="N85" s="23">
        <f t="shared" si="30"/>
        <v>600</v>
      </c>
      <c r="O85" s="23"/>
      <c r="P85" s="23"/>
      <c r="Q85" s="148"/>
      <c r="R85" s="23"/>
      <c r="S85" s="23">
        <f>SUM(S86:S90)</f>
        <v>119328.88</v>
      </c>
      <c r="T85" s="149">
        <f>SUM(T86:T90)</f>
        <v>98671.12</v>
      </c>
    </row>
    <row r="86" spans="1:21" ht="47.25">
      <c r="A86" s="15">
        <v>2</v>
      </c>
      <c r="B86" s="15">
        <v>2</v>
      </c>
      <c r="C86" s="19">
        <v>7</v>
      </c>
      <c r="D86" s="15">
        <v>1</v>
      </c>
      <c r="E86" s="42">
        <v>2</v>
      </c>
      <c r="F86" s="150" t="s">
        <v>134</v>
      </c>
      <c r="G86" s="27"/>
      <c r="H86" s="27"/>
      <c r="I86" s="27"/>
      <c r="J86" s="34">
        <v>13570</v>
      </c>
      <c r="K86" s="34"/>
      <c r="L86" s="34"/>
      <c r="M86" s="34"/>
      <c r="N86" s="34"/>
      <c r="O86" s="34"/>
      <c r="P86" s="34"/>
      <c r="Q86" s="151"/>
      <c r="R86" s="34"/>
      <c r="S86" s="35">
        <f>+I86+J86+K86+L86+M86:M86+N86+O86+P86+Q86+R86</f>
        <v>13570</v>
      </c>
      <c r="T86" s="139">
        <f>+G86-S86</f>
        <v>-13570</v>
      </c>
    </row>
    <row r="87" spans="1:21" ht="47.25">
      <c r="A87" s="15">
        <v>2</v>
      </c>
      <c r="B87" s="15">
        <v>2</v>
      </c>
      <c r="C87" s="19">
        <v>7</v>
      </c>
      <c r="D87" s="15">
        <v>2</v>
      </c>
      <c r="E87" s="42">
        <v>2</v>
      </c>
      <c r="F87" s="150" t="s">
        <v>62</v>
      </c>
      <c r="G87" s="34">
        <v>18000</v>
      </c>
      <c r="H87" s="34"/>
      <c r="I87" s="35">
        <v>0</v>
      </c>
      <c r="J87" s="35">
        <f>+I87</f>
        <v>0</v>
      </c>
      <c r="K87" s="35"/>
      <c r="L87" s="35"/>
      <c r="M87" s="35"/>
      <c r="N87" s="35"/>
      <c r="O87" s="35"/>
      <c r="P87" s="35"/>
      <c r="Q87" s="35"/>
      <c r="R87" s="35"/>
      <c r="S87" s="35">
        <f>+I87+J87+K87+L87+M87:M87+N87+O87+P87+Q87+R87</f>
        <v>0</v>
      </c>
      <c r="T87" s="139">
        <f>+G87-S87</f>
        <v>18000</v>
      </c>
    </row>
    <row r="88" spans="1:21" ht="47.25">
      <c r="A88" s="15">
        <v>2</v>
      </c>
      <c r="B88" s="15">
        <v>2</v>
      </c>
      <c r="C88" s="19">
        <v>7</v>
      </c>
      <c r="D88" s="15">
        <v>2</v>
      </c>
      <c r="E88" s="42">
        <v>3</v>
      </c>
      <c r="F88" s="150" t="s">
        <v>63</v>
      </c>
      <c r="G88" s="34"/>
      <c r="H88" s="34"/>
      <c r="I88" s="35">
        <f>G88*12</f>
        <v>0</v>
      </c>
      <c r="J88" s="35">
        <f>+I88</f>
        <v>0</v>
      </c>
      <c r="K88" s="35"/>
      <c r="L88" s="35"/>
      <c r="M88" s="35"/>
      <c r="N88" s="35"/>
      <c r="O88" s="35"/>
      <c r="P88" s="35"/>
      <c r="Q88" s="35"/>
      <c r="R88" s="35"/>
      <c r="S88" s="35">
        <f t="shared" ref="S88:S91" si="31">+I88+J88+K88+L88+M88:M88+N88+O88+P88+Q88+R88</f>
        <v>0</v>
      </c>
      <c r="T88" s="139">
        <f>+G88-S88</f>
        <v>0</v>
      </c>
    </row>
    <row r="89" spans="1:21" ht="47.25">
      <c r="A89" s="15">
        <v>2</v>
      </c>
      <c r="B89" s="15">
        <v>2</v>
      </c>
      <c r="C89" s="19">
        <v>7</v>
      </c>
      <c r="D89" s="15">
        <v>2</v>
      </c>
      <c r="E89" s="42">
        <v>4</v>
      </c>
      <c r="F89" s="150" t="s">
        <v>64</v>
      </c>
      <c r="G89" s="34">
        <v>100000</v>
      </c>
      <c r="H89" s="34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>
        <f t="shared" si="31"/>
        <v>0</v>
      </c>
      <c r="T89" s="139">
        <f>+G89-S89</f>
        <v>100000</v>
      </c>
    </row>
    <row r="90" spans="1:21" ht="47.25">
      <c r="A90" s="15">
        <v>2</v>
      </c>
      <c r="B90" s="15">
        <v>2</v>
      </c>
      <c r="C90" s="19">
        <v>7</v>
      </c>
      <c r="D90" s="15">
        <v>2</v>
      </c>
      <c r="E90" s="42">
        <v>6</v>
      </c>
      <c r="F90" s="150" t="s">
        <v>65</v>
      </c>
      <c r="G90" s="34">
        <v>100000</v>
      </c>
      <c r="H90" s="34"/>
      <c r="I90" s="35">
        <v>8333</v>
      </c>
      <c r="J90" s="35">
        <v>10951</v>
      </c>
      <c r="K90" s="35"/>
      <c r="L90" s="35"/>
      <c r="M90" s="35">
        <v>8474.58</v>
      </c>
      <c r="N90" s="35">
        <v>600</v>
      </c>
      <c r="O90" s="35">
        <v>53122</v>
      </c>
      <c r="P90" s="35">
        <f>15896.81+600+600+4281.49</f>
        <v>21378.299999999996</v>
      </c>
      <c r="Q90" s="35">
        <f>600+500</f>
        <v>1100</v>
      </c>
      <c r="R90" s="35">
        <f>600+600+600</f>
        <v>1800</v>
      </c>
      <c r="S90" s="35">
        <f>+I90+J90+K90+L90+M90:M90+N90+O90+P90+Q90+R90</f>
        <v>105758.88</v>
      </c>
      <c r="T90" s="139">
        <f>+G90-S90</f>
        <v>-5758.8800000000047</v>
      </c>
      <c r="U90" s="35"/>
    </row>
    <row r="91" spans="1:21" ht="15.75">
      <c r="A91" s="15"/>
      <c r="B91" s="15"/>
      <c r="C91" s="19"/>
      <c r="D91" s="15"/>
      <c r="E91" s="42"/>
      <c r="F91" s="101"/>
      <c r="G91" s="34"/>
      <c r="H91" s="34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>
        <f t="shared" si="31"/>
        <v>0</v>
      </c>
      <c r="T91" s="139"/>
    </row>
    <row r="92" spans="1:21" ht="32.25" thickBot="1">
      <c r="A92" s="15">
        <v>2</v>
      </c>
      <c r="B92" s="15">
        <v>2</v>
      </c>
      <c r="C92" s="19">
        <v>8</v>
      </c>
      <c r="D92" s="15"/>
      <c r="E92" s="20"/>
      <c r="F92" s="99" t="s">
        <v>66</v>
      </c>
      <c r="G92" s="27">
        <f>SUM(G93+G94)+G96+G100</f>
        <v>2218800</v>
      </c>
      <c r="H92" s="27">
        <f>SUM(H93+H94)+H96+H100</f>
        <v>4515833</v>
      </c>
      <c r="I92" s="28">
        <f t="shared" ref="I92:T92" si="32">I93+I94+I96+I100</f>
        <v>321519</v>
      </c>
      <c r="J92" s="28">
        <f>J93+J94+J96+J100</f>
        <v>363965</v>
      </c>
      <c r="K92" s="28">
        <f t="shared" si="32"/>
        <v>308489.34999999998</v>
      </c>
      <c r="L92" s="28">
        <f t="shared" si="32"/>
        <v>225908.6</v>
      </c>
      <c r="M92" s="28">
        <f t="shared" si="32"/>
        <v>227764.52</v>
      </c>
      <c r="N92" s="28">
        <f t="shared" si="32"/>
        <v>326254.43</v>
      </c>
      <c r="O92" s="28">
        <f t="shared" si="32"/>
        <v>277910.68</v>
      </c>
      <c r="P92" s="28">
        <f t="shared" si="32"/>
        <v>263414.64</v>
      </c>
      <c r="Q92" s="28">
        <f t="shared" si="32"/>
        <v>640882.34</v>
      </c>
      <c r="R92" s="28">
        <f t="shared" si="32"/>
        <v>235736.59</v>
      </c>
      <c r="S92" s="28">
        <f t="shared" si="32"/>
        <v>3191845.15</v>
      </c>
      <c r="T92" s="134">
        <f t="shared" si="32"/>
        <v>-973045.14999999991</v>
      </c>
      <c r="U92" s="65"/>
    </row>
    <row r="93" spans="1:21" ht="31.5">
      <c r="A93" s="15">
        <v>2</v>
      </c>
      <c r="B93" s="15">
        <v>2</v>
      </c>
      <c r="C93" s="19">
        <v>8</v>
      </c>
      <c r="D93" s="15">
        <v>2</v>
      </c>
      <c r="E93" s="42"/>
      <c r="F93" s="98" t="s">
        <v>67</v>
      </c>
      <c r="G93" s="33">
        <v>84000</v>
      </c>
      <c r="H93" s="33"/>
      <c r="I93" s="36">
        <v>4811</v>
      </c>
      <c r="J93" s="36">
        <v>8780</v>
      </c>
      <c r="K93" s="36">
        <v>5444.35</v>
      </c>
      <c r="L93" s="36">
        <v>4558</v>
      </c>
      <c r="M93" s="36">
        <v>5195.5200000000004</v>
      </c>
      <c r="N93" s="36">
        <v>4361.43</v>
      </c>
      <c r="O93" s="36">
        <v>4747.68</v>
      </c>
      <c r="P93" s="36">
        <v>6392.64</v>
      </c>
      <c r="Q93" s="36">
        <v>4959.34</v>
      </c>
      <c r="R93" s="36">
        <v>5250.79</v>
      </c>
      <c r="S93" s="36">
        <f>+I93+J93+K93+L93+M93+N93+O93+P93+Q93+R93</f>
        <v>54500.750000000007</v>
      </c>
      <c r="T93" s="140">
        <f>+G93-S93</f>
        <v>29499.249999999993</v>
      </c>
      <c r="U93" s="65"/>
    </row>
    <row r="94" spans="1:21" ht="31.5">
      <c r="A94" s="15">
        <v>2</v>
      </c>
      <c r="B94" s="15">
        <v>2</v>
      </c>
      <c r="C94" s="19">
        <v>8</v>
      </c>
      <c r="D94" s="15">
        <v>4</v>
      </c>
      <c r="E94" s="15"/>
      <c r="F94" s="98" t="s">
        <v>68</v>
      </c>
      <c r="G94" s="34">
        <v>0</v>
      </c>
      <c r="H94" s="34"/>
      <c r="I94" s="35">
        <v>0</v>
      </c>
      <c r="J94" s="35"/>
      <c r="K94" s="35"/>
      <c r="L94" s="35"/>
      <c r="M94" s="35"/>
      <c r="N94" s="35"/>
      <c r="O94" s="35"/>
      <c r="P94" s="35"/>
      <c r="Q94" s="35"/>
      <c r="R94" s="35"/>
      <c r="S94" s="35">
        <f>+I94+J94+K94+L94+M94+N94+O94+P94+Q94</f>
        <v>0</v>
      </c>
      <c r="T94" s="139">
        <v>0</v>
      </c>
    </row>
    <row r="95" spans="1:21" ht="15.75">
      <c r="A95" s="15"/>
      <c r="B95" s="15"/>
      <c r="C95" s="19"/>
      <c r="D95" s="15"/>
      <c r="E95" s="15"/>
      <c r="F95" s="98"/>
      <c r="G95" s="34"/>
      <c r="H95" s="34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139"/>
    </row>
    <row r="96" spans="1:21" ht="32.25" thickBot="1">
      <c r="A96" s="15">
        <v>2</v>
      </c>
      <c r="B96" s="15">
        <v>2</v>
      </c>
      <c r="C96" s="19">
        <v>8</v>
      </c>
      <c r="D96" s="15">
        <v>6</v>
      </c>
      <c r="E96" s="20"/>
      <c r="F96" s="100" t="s">
        <v>69</v>
      </c>
      <c r="G96" s="27">
        <f t="shared" ref="G96:T96" si="33">G97+G98</f>
        <v>950000</v>
      </c>
      <c r="H96" s="21">
        <f t="shared" si="33"/>
        <v>1882417</v>
      </c>
      <c r="I96" s="39">
        <f t="shared" si="33"/>
        <v>0</v>
      </c>
      <c r="J96" s="39">
        <f>J97+J98</f>
        <v>0</v>
      </c>
      <c r="K96" s="39">
        <f t="shared" si="33"/>
        <v>0</v>
      </c>
      <c r="L96" s="39">
        <f t="shared" si="33"/>
        <v>0</v>
      </c>
      <c r="M96" s="39">
        <f t="shared" si="33"/>
        <v>0</v>
      </c>
      <c r="N96" s="39">
        <f t="shared" si="33"/>
        <v>0</v>
      </c>
      <c r="O96" s="39"/>
      <c r="P96" s="39"/>
      <c r="Q96" s="39"/>
      <c r="R96" s="39"/>
      <c r="S96" s="39">
        <f t="shared" si="33"/>
        <v>0</v>
      </c>
      <c r="T96" s="143">
        <f t="shared" si="33"/>
        <v>950000</v>
      </c>
    </row>
    <row r="97" spans="1:22" ht="15.75">
      <c r="A97" s="15">
        <v>2</v>
      </c>
      <c r="B97" s="15">
        <v>2</v>
      </c>
      <c r="C97" s="19">
        <v>8</v>
      </c>
      <c r="D97" s="15">
        <v>6</v>
      </c>
      <c r="E97" s="15">
        <v>1</v>
      </c>
      <c r="F97" s="98" t="s">
        <v>70</v>
      </c>
      <c r="G97" s="33">
        <v>920000</v>
      </c>
      <c r="H97" s="33">
        <f>360000+1522417</f>
        <v>1882417</v>
      </c>
      <c r="I97" s="36"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>
        <f>+I97+J97+K97+L97+M97+N97+O97+P97+Q97</f>
        <v>0</v>
      </c>
      <c r="T97" s="139">
        <f>+G97-S97</f>
        <v>920000</v>
      </c>
    </row>
    <row r="98" spans="1:22" ht="15.75">
      <c r="A98" s="15">
        <v>2</v>
      </c>
      <c r="B98" s="15">
        <v>2</v>
      </c>
      <c r="C98" s="19">
        <v>8</v>
      </c>
      <c r="D98" s="15">
        <v>6</v>
      </c>
      <c r="E98" s="15">
        <v>2</v>
      </c>
      <c r="F98" s="98" t="s">
        <v>71</v>
      </c>
      <c r="G98" s="34">
        <v>30000</v>
      </c>
      <c r="H98" s="34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>
        <f>+I98+J98+K98+L98+M98+N98+O98+P98+Q98</f>
        <v>0</v>
      </c>
      <c r="T98" s="139">
        <f>+G98-S98</f>
        <v>30000</v>
      </c>
    </row>
    <row r="99" spans="1:22" ht="15.75">
      <c r="A99" s="15"/>
      <c r="B99" s="15"/>
      <c r="C99" s="19"/>
      <c r="D99" s="15"/>
      <c r="E99" s="15"/>
      <c r="F99" s="98"/>
      <c r="G99" s="34"/>
      <c r="H99" s="34"/>
      <c r="I99" s="35">
        <v>0</v>
      </c>
      <c r="J99" s="35"/>
      <c r="K99" s="35"/>
      <c r="L99" s="35"/>
      <c r="M99" s="35"/>
      <c r="N99" s="35"/>
      <c r="O99" s="35"/>
      <c r="P99" s="35"/>
      <c r="Q99" s="35"/>
      <c r="R99" s="35"/>
      <c r="S99" s="35">
        <f>+J99</f>
        <v>0</v>
      </c>
      <c r="T99" s="139">
        <v>0</v>
      </c>
    </row>
    <row r="100" spans="1:22" ht="32.25" thickBot="1">
      <c r="A100" s="15">
        <v>2</v>
      </c>
      <c r="B100" s="15">
        <v>2</v>
      </c>
      <c r="C100" s="19">
        <v>8</v>
      </c>
      <c r="D100" s="15">
        <v>7</v>
      </c>
      <c r="E100" s="20"/>
      <c r="F100" s="100" t="s">
        <v>72</v>
      </c>
      <c r="G100" s="55">
        <f t="shared" ref="G100:T100" si="34">G101+G102+G103+G104+G105</f>
        <v>1184800</v>
      </c>
      <c r="H100" s="55">
        <f t="shared" si="34"/>
        <v>2633416</v>
      </c>
      <c r="I100" s="144">
        <f t="shared" si="34"/>
        <v>316708</v>
      </c>
      <c r="J100" s="144">
        <f t="shared" si="34"/>
        <v>355185</v>
      </c>
      <c r="K100" s="144">
        <f t="shared" si="34"/>
        <v>303045</v>
      </c>
      <c r="L100" s="144">
        <f t="shared" si="34"/>
        <v>221350.6</v>
      </c>
      <c r="M100" s="144">
        <f t="shared" si="34"/>
        <v>222569</v>
      </c>
      <c r="N100" s="144">
        <f t="shared" si="34"/>
        <v>321893</v>
      </c>
      <c r="O100" s="144">
        <f t="shared" si="34"/>
        <v>273163</v>
      </c>
      <c r="P100" s="144">
        <f t="shared" si="34"/>
        <v>257022</v>
      </c>
      <c r="Q100" s="144">
        <f t="shared" si="34"/>
        <v>635923</v>
      </c>
      <c r="R100" s="144">
        <f t="shared" si="34"/>
        <v>230485.8</v>
      </c>
      <c r="S100" s="144">
        <f>S101+S102+S103+S104+S105</f>
        <v>3137344.4</v>
      </c>
      <c r="T100" s="134">
        <f t="shared" si="34"/>
        <v>-1952544.4</v>
      </c>
    </row>
    <row r="101" spans="1:22" ht="31.5">
      <c r="A101" s="15">
        <v>2</v>
      </c>
      <c r="B101" s="15">
        <v>2</v>
      </c>
      <c r="C101" s="19">
        <v>8</v>
      </c>
      <c r="D101" s="15">
        <v>7</v>
      </c>
      <c r="E101" s="15">
        <v>1</v>
      </c>
      <c r="F101" s="101" t="s">
        <v>73</v>
      </c>
      <c r="G101" s="34"/>
      <c r="H101" s="34"/>
      <c r="I101" s="35">
        <v>0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>
        <f>+I101+J101+K101+L101+M101+N101+O101+P101+Q101+R101</f>
        <v>0</v>
      </c>
      <c r="T101" s="140">
        <f>+G101-S101</f>
        <v>0</v>
      </c>
    </row>
    <row r="102" spans="1:22" ht="31.5">
      <c r="A102" s="15">
        <v>2</v>
      </c>
      <c r="B102" s="15">
        <v>2</v>
      </c>
      <c r="C102" s="19">
        <v>8</v>
      </c>
      <c r="D102" s="15">
        <v>7</v>
      </c>
      <c r="E102" s="42">
        <v>3</v>
      </c>
      <c r="F102" s="101" t="s">
        <v>74</v>
      </c>
      <c r="G102" s="34">
        <v>259600</v>
      </c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>
        <f>+I102+J102+K102+L102+M102+N102+O102+P102+Q102+R102</f>
        <v>0</v>
      </c>
      <c r="T102" s="152">
        <f>+G102-S102</f>
        <v>259600</v>
      </c>
    </row>
    <row r="103" spans="1:22" ht="15.75">
      <c r="A103" s="15">
        <v>2</v>
      </c>
      <c r="B103" s="15">
        <v>2</v>
      </c>
      <c r="C103" s="19">
        <v>8</v>
      </c>
      <c r="D103" s="15">
        <v>7</v>
      </c>
      <c r="E103" s="15">
        <v>4</v>
      </c>
      <c r="F103" s="101" t="s">
        <v>75</v>
      </c>
      <c r="G103" s="34">
        <v>120000</v>
      </c>
      <c r="H103" s="34"/>
      <c r="I103" s="35">
        <f>8750+6050</f>
        <v>14800</v>
      </c>
      <c r="J103" s="35">
        <v>13200</v>
      </c>
      <c r="K103" s="35"/>
      <c r="L103" s="35">
        <v>17520</v>
      </c>
      <c r="M103" s="35"/>
      <c r="N103" s="35"/>
      <c r="O103" s="35"/>
      <c r="P103" s="35">
        <v>15760</v>
      </c>
      <c r="Q103" s="35"/>
      <c r="R103" s="35"/>
      <c r="S103" s="35">
        <f>+I103+J103+K103+L103+M103+N103+O103+P103+Q103+R103</f>
        <v>61280</v>
      </c>
      <c r="T103" s="152">
        <f>+G103-S103</f>
        <v>58720</v>
      </c>
    </row>
    <row r="104" spans="1:22" ht="31.5">
      <c r="A104" s="15">
        <v>2</v>
      </c>
      <c r="B104" s="15">
        <v>2</v>
      </c>
      <c r="C104" s="19">
        <v>8</v>
      </c>
      <c r="D104" s="15">
        <v>7</v>
      </c>
      <c r="E104" s="15">
        <v>5</v>
      </c>
      <c r="F104" s="101" t="s">
        <v>76</v>
      </c>
      <c r="G104" s="34"/>
      <c r="H104" s="34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>
        <f>+I104+J104+K104+L104+M104+N104+O104+P104+Q104+R104</f>
        <v>0</v>
      </c>
      <c r="T104" s="152">
        <f>+G104-S104</f>
        <v>0</v>
      </c>
    </row>
    <row r="105" spans="1:22" ht="31.5">
      <c r="A105" s="15">
        <v>2</v>
      </c>
      <c r="B105" s="15">
        <v>2</v>
      </c>
      <c r="C105" s="19">
        <v>8</v>
      </c>
      <c r="D105" s="15">
        <v>7</v>
      </c>
      <c r="E105" s="15">
        <v>6</v>
      </c>
      <c r="F105" s="101" t="s">
        <v>77</v>
      </c>
      <c r="G105" s="34">
        <v>805200</v>
      </c>
      <c r="H105" s="34">
        <f>860000+1015000+758416</f>
        <v>2633416</v>
      </c>
      <c r="I105" s="35">
        <f>25960+43563+207385+25000</f>
        <v>301908</v>
      </c>
      <c r="J105" s="35">
        <f>72452+10620+43563+26550+188800</f>
        <v>341985</v>
      </c>
      <c r="K105" s="146">
        <f>14750+14750+21240+129800+43563+11800+67142</f>
        <v>303045</v>
      </c>
      <c r="L105" s="35">
        <f>11800+43563+129800+18667.6</f>
        <v>203830.6</v>
      </c>
      <c r="M105" s="35">
        <f>14750+22656+129800+11800+43563</f>
        <v>222569</v>
      </c>
      <c r="N105" s="35">
        <f>29300+21240+20650+29300+129800+14750+21240+11800+43563+250</f>
        <v>321893</v>
      </c>
      <c r="O105" s="35">
        <f>88000+43563+129800+11800</f>
        <v>273163</v>
      </c>
      <c r="P105" s="35">
        <f>21299+129800+11800+43563+34800</f>
        <v>241262</v>
      </c>
      <c r="Q105" s="35">
        <f>21240+14750+414770+43563+11800+129800</f>
        <v>635923</v>
      </c>
      <c r="R105" s="35">
        <f>11800+129800+43563+21000+12390+11932.8</f>
        <v>230485.8</v>
      </c>
      <c r="S105" s="35">
        <f>+I105+J105+K105+L105+M105+N105+O105+P105+Q105+R105</f>
        <v>3076064.4</v>
      </c>
      <c r="T105" s="152">
        <f>+G105-S105</f>
        <v>-2270864.4</v>
      </c>
      <c r="U105" s="65"/>
    </row>
    <row r="106" spans="1:22" ht="16.5" thickBot="1">
      <c r="A106" s="15"/>
      <c r="B106" s="15"/>
      <c r="C106" s="19"/>
      <c r="D106" s="15"/>
      <c r="E106" s="15"/>
      <c r="F106" s="101"/>
      <c r="G106" s="37"/>
      <c r="H106" s="37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143"/>
    </row>
    <row r="107" spans="1:22" ht="32.25" thickBot="1">
      <c r="A107" s="15">
        <v>2</v>
      </c>
      <c r="B107" s="15">
        <v>2</v>
      </c>
      <c r="C107" s="19">
        <v>9</v>
      </c>
      <c r="D107" s="15"/>
      <c r="E107" s="15"/>
      <c r="F107" s="99" t="s">
        <v>110</v>
      </c>
      <c r="G107" s="43">
        <f>G108+G109</f>
        <v>250000</v>
      </c>
      <c r="H107" s="43">
        <f>H108+H109</f>
        <v>0</v>
      </c>
      <c r="I107" s="43">
        <f t="shared" ref="I107:T107" si="35">I108+I109</f>
        <v>27731.74</v>
      </c>
      <c r="J107" s="43">
        <f t="shared" si="35"/>
        <v>92664.349999999991</v>
      </c>
      <c r="K107" s="43">
        <f t="shared" si="35"/>
        <v>15407.999999999998</v>
      </c>
      <c r="L107" s="43">
        <f t="shared" si="35"/>
        <v>53412.26</v>
      </c>
      <c r="M107" s="43">
        <f t="shared" si="35"/>
        <v>62197</v>
      </c>
      <c r="N107" s="43">
        <f t="shared" si="35"/>
        <v>51939</v>
      </c>
      <c r="O107" s="43">
        <f t="shared" si="35"/>
        <v>113168.59999999999</v>
      </c>
      <c r="P107" s="43">
        <f t="shared" si="35"/>
        <v>47031.95</v>
      </c>
      <c r="Q107" s="43">
        <f t="shared" si="35"/>
        <v>1769.95</v>
      </c>
      <c r="R107" s="43">
        <f t="shared" si="35"/>
        <v>28646.26</v>
      </c>
      <c r="S107" s="43">
        <f t="shared" si="35"/>
        <v>493969.11</v>
      </c>
      <c r="T107" s="153">
        <f t="shared" si="35"/>
        <v>-243969.11</v>
      </c>
      <c r="U107" s="27"/>
    </row>
    <row r="108" spans="1:22" ht="16.5" thickBot="1">
      <c r="A108" s="15">
        <v>2</v>
      </c>
      <c r="B108" s="15">
        <v>2</v>
      </c>
      <c r="C108" s="19">
        <v>9</v>
      </c>
      <c r="D108" s="15">
        <v>2</v>
      </c>
      <c r="E108" s="15"/>
      <c r="F108" s="98" t="s">
        <v>111</v>
      </c>
      <c r="G108" s="25"/>
      <c r="H108" s="25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>
        <f>+J108</f>
        <v>0</v>
      </c>
      <c r="T108" s="155">
        <f>+G108-S108</f>
        <v>0</v>
      </c>
      <c r="U108" s="65"/>
    </row>
    <row r="109" spans="1:22" ht="15.75">
      <c r="A109" s="15">
        <v>2</v>
      </c>
      <c r="B109" s="15">
        <v>2</v>
      </c>
      <c r="C109" s="19">
        <v>9</v>
      </c>
      <c r="D109" s="15">
        <v>2</v>
      </c>
      <c r="E109" s="15">
        <v>1</v>
      </c>
      <c r="F109" s="101" t="s">
        <v>111</v>
      </c>
      <c r="G109" s="34">
        <v>250000</v>
      </c>
      <c r="H109" s="34"/>
      <c r="I109" s="35">
        <f>1579+24011.74+1000+741+400</f>
        <v>27731.74</v>
      </c>
      <c r="J109" s="35">
        <f>56286+25783+90+270+4500+569.95+90+5075.4</f>
        <v>92664.349999999991</v>
      </c>
      <c r="K109" s="35">
        <f>470+2015+1319.7+270+2500+5782.4+800+552+795+903.9</f>
        <v>15407.999999999998</v>
      </c>
      <c r="L109" s="35">
        <f>50563+659.51+200+200+200+764.75+100+200+300+100+125</f>
        <v>53412.26</v>
      </c>
      <c r="M109" s="35">
        <f>700+850+55932+600+4115</f>
        <v>62197</v>
      </c>
      <c r="N109" s="35">
        <f>600+50504+700+135</f>
        <v>51939</v>
      </c>
      <c r="O109" s="35">
        <f>780+100+27396.45+17623.3+62186+989.7+1114.75+600+2378.4</f>
        <v>113168.59999999999</v>
      </c>
      <c r="P109" s="35">
        <f>43247+400+1129.6+379.75+975.6+900</f>
        <v>47031.95</v>
      </c>
      <c r="Q109" s="35">
        <f>100+200+300+469.95+500+200</f>
        <v>1769.95</v>
      </c>
      <c r="R109" s="35">
        <f>3500+585+200+500+600+22623.46+637.8</f>
        <v>28646.26</v>
      </c>
      <c r="S109" s="35">
        <f>+I109+J109+K109+L109+M109+N109+O109+P109+Q109+R109</f>
        <v>493969.11</v>
      </c>
      <c r="T109" s="139">
        <f>+G109-S109</f>
        <v>-243969.11</v>
      </c>
      <c r="U109" s="65"/>
      <c r="V109" s="65"/>
    </row>
    <row r="110" spans="1:22" ht="15.75">
      <c r="A110" s="15"/>
      <c r="B110" s="15"/>
      <c r="C110" s="19"/>
      <c r="D110" s="15"/>
      <c r="E110" s="15"/>
      <c r="F110" s="101"/>
      <c r="G110" s="34"/>
      <c r="H110" s="34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139"/>
      <c r="U110" s="65"/>
    </row>
    <row r="111" spans="1:22" ht="16.5" thickBot="1">
      <c r="A111" s="15">
        <v>2</v>
      </c>
      <c r="B111" s="15">
        <v>3</v>
      </c>
      <c r="C111" s="19"/>
      <c r="D111" s="15"/>
      <c r="E111" s="20"/>
      <c r="F111" s="99" t="s">
        <v>78</v>
      </c>
      <c r="G111" s="21">
        <f>G112+G116+G119+G125+G129+G137</f>
        <v>994500</v>
      </c>
      <c r="H111" s="21">
        <f>H112+H116+H119+H125+H129+H137</f>
        <v>760000</v>
      </c>
      <c r="I111" s="21">
        <f>I112+I116+I119+I125+I129+I137</f>
        <v>23445.010000000002</v>
      </c>
      <c r="J111" s="21">
        <f t="shared" ref="J111:T111" si="36">J112+J116+J119+J125+J129+J137</f>
        <v>170394.68</v>
      </c>
      <c r="K111" s="21">
        <f t="shared" si="36"/>
        <v>206026.82</v>
      </c>
      <c r="L111" s="21">
        <f t="shared" si="36"/>
        <v>45458.92</v>
      </c>
      <c r="M111" s="21">
        <f t="shared" si="36"/>
        <v>800</v>
      </c>
      <c r="N111" s="21">
        <f t="shared" si="36"/>
        <v>11650.55</v>
      </c>
      <c r="O111" s="21">
        <f t="shared" si="36"/>
        <v>226924.78</v>
      </c>
      <c r="P111" s="21">
        <f t="shared" si="36"/>
        <v>600</v>
      </c>
      <c r="Q111" s="21">
        <f t="shared" si="36"/>
        <v>9110.75</v>
      </c>
      <c r="R111" s="21">
        <f t="shared" si="36"/>
        <v>43813.600000000006</v>
      </c>
      <c r="S111" s="21">
        <f t="shared" si="36"/>
        <v>738225.10999999987</v>
      </c>
      <c r="T111" s="68">
        <f t="shared" si="36"/>
        <v>310569.05000000005</v>
      </c>
      <c r="U111" s="65"/>
      <c r="V111" s="2"/>
    </row>
    <row r="112" spans="1:22" ht="32.25" thickBot="1">
      <c r="A112" s="15">
        <v>2</v>
      </c>
      <c r="B112" s="15">
        <v>3</v>
      </c>
      <c r="C112" s="19">
        <v>1</v>
      </c>
      <c r="D112" s="15"/>
      <c r="E112" s="20"/>
      <c r="F112" s="107" t="s">
        <v>79</v>
      </c>
      <c r="G112" s="23">
        <f>G113</f>
        <v>0</v>
      </c>
      <c r="H112" s="23"/>
      <c r="I112" s="24">
        <f>I113</f>
        <v>0</v>
      </c>
      <c r="J112" s="24">
        <f>J113</f>
        <v>0</v>
      </c>
      <c r="K112" s="24"/>
      <c r="L112" s="24"/>
      <c r="M112" s="24"/>
      <c r="N112" s="24"/>
      <c r="O112" s="24"/>
      <c r="P112" s="24"/>
      <c r="Q112" s="24"/>
      <c r="R112" s="24"/>
      <c r="S112" s="24">
        <f>S113</f>
        <v>0</v>
      </c>
      <c r="T112" s="141">
        <f>T113</f>
        <v>0</v>
      </c>
      <c r="U112" s="2"/>
    </row>
    <row r="113" spans="1:22" ht="31.5">
      <c r="A113" s="15">
        <v>2</v>
      </c>
      <c r="B113" s="15">
        <v>3</v>
      </c>
      <c r="C113" s="19">
        <v>1</v>
      </c>
      <c r="D113" s="15">
        <v>1</v>
      </c>
      <c r="E113" s="20"/>
      <c r="F113" s="108" t="s">
        <v>80</v>
      </c>
      <c r="G113" s="34">
        <f>G114</f>
        <v>0</v>
      </c>
      <c r="H113" s="34"/>
      <c r="I113" s="30"/>
      <c r="J113" s="30"/>
      <c r="L113" s="30"/>
      <c r="M113" s="30"/>
      <c r="N113" s="30"/>
      <c r="O113" s="30"/>
      <c r="P113" s="30"/>
      <c r="Q113" s="30"/>
      <c r="R113" s="30"/>
      <c r="S113" s="30">
        <f>+I113+J113+K113+L113+M113+N113+O113+P113+Q113+R113</f>
        <v>0</v>
      </c>
      <c r="T113" s="137"/>
    </row>
    <row r="114" spans="1:22" ht="12" customHeight="1">
      <c r="A114" s="15">
        <v>2</v>
      </c>
      <c r="B114" s="15">
        <v>3</v>
      </c>
      <c r="C114" s="19">
        <v>1</v>
      </c>
      <c r="D114" s="15">
        <v>1</v>
      </c>
      <c r="E114" s="20">
        <v>1</v>
      </c>
      <c r="F114" s="108" t="s">
        <v>80</v>
      </c>
      <c r="G114" s="34"/>
      <c r="H114" s="34"/>
      <c r="I114" s="35">
        <v>0</v>
      </c>
      <c r="J114" s="35"/>
      <c r="K114" s="30"/>
      <c r="L114" s="35"/>
      <c r="M114" s="35"/>
      <c r="N114" s="35"/>
      <c r="O114" s="35"/>
      <c r="P114" s="35"/>
      <c r="Q114" s="35"/>
      <c r="R114" s="35"/>
      <c r="S114" s="35">
        <f>+I114+J114+K114+L114+M114+N114+O114+P114+Q114+R114</f>
        <v>0</v>
      </c>
      <c r="T114" s="139">
        <v>0</v>
      </c>
    </row>
    <row r="115" spans="1:22" ht="12" customHeight="1">
      <c r="A115" s="15"/>
      <c r="B115" s="15"/>
      <c r="C115" s="19"/>
      <c r="D115" s="15"/>
      <c r="E115" s="20"/>
      <c r="F115" s="107"/>
      <c r="G115" s="34"/>
      <c r="H115" s="34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139"/>
    </row>
    <row r="116" spans="1:22" ht="12" customHeight="1" thickBot="1">
      <c r="A116" s="15">
        <v>2</v>
      </c>
      <c r="B116" s="15">
        <v>3</v>
      </c>
      <c r="C116" s="19">
        <v>2</v>
      </c>
      <c r="D116" s="15"/>
      <c r="E116" s="20"/>
      <c r="F116" s="107" t="s">
        <v>81</v>
      </c>
      <c r="G116" s="34"/>
      <c r="H116" s="34"/>
      <c r="I116" s="35">
        <f t="shared" ref="I116:T116" si="37">I117</f>
        <v>0</v>
      </c>
      <c r="J116" s="35">
        <f t="shared" si="37"/>
        <v>0</v>
      </c>
      <c r="K116" s="35">
        <f t="shared" si="37"/>
        <v>0</v>
      </c>
      <c r="L116" s="35">
        <f t="shared" si="37"/>
        <v>0</v>
      </c>
      <c r="M116" s="35">
        <f t="shared" si="37"/>
        <v>0</v>
      </c>
      <c r="N116" s="35">
        <f t="shared" si="37"/>
        <v>0</v>
      </c>
      <c r="O116" s="35">
        <f t="shared" si="37"/>
        <v>0</v>
      </c>
      <c r="P116" s="35">
        <f t="shared" si="37"/>
        <v>0</v>
      </c>
      <c r="Q116" s="35">
        <f t="shared" si="37"/>
        <v>0</v>
      </c>
      <c r="R116" s="35">
        <f t="shared" si="37"/>
        <v>0</v>
      </c>
      <c r="S116" s="35">
        <f t="shared" si="37"/>
        <v>0</v>
      </c>
      <c r="T116" s="139">
        <f t="shared" si="37"/>
        <v>0</v>
      </c>
      <c r="U116" s="139"/>
    </row>
    <row r="117" spans="1:22" ht="12" customHeight="1">
      <c r="A117" s="15">
        <v>2</v>
      </c>
      <c r="B117" s="15">
        <v>3</v>
      </c>
      <c r="C117" s="19">
        <v>2</v>
      </c>
      <c r="D117" s="15">
        <v>3</v>
      </c>
      <c r="E117" s="20"/>
      <c r="F117" s="108" t="s">
        <v>82</v>
      </c>
      <c r="G117" s="33"/>
      <c r="H117" s="33"/>
      <c r="I117" s="36">
        <v>0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>
        <f>+I117+J117+K117+L117+M117+N117+O117+P117+Q117+R117</f>
        <v>0</v>
      </c>
      <c r="T117" s="140">
        <v>0</v>
      </c>
    </row>
    <row r="118" spans="1:22" s="4" customFormat="1" ht="15.75">
      <c r="A118" s="15"/>
      <c r="B118" s="15"/>
      <c r="C118" s="19"/>
      <c r="D118" s="15"/>
      <c r="E118" s="20"/>
      <c r="F118" s="107"/>
      <c r="G118" s="34"/>
      <c r="H118" s="34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137"/>
    </row>
    <row r="119" spans="1:22" ht="32.25" thickBot="1">
      <c r="A119" s="15">
        <v>2</v>
      </c>
      <c r="B119" s="40">
        <v>3</v>
      </c>
      <c r="C119" s="41">
        <v>3</v>
      </c>
      <c r="D119" s="20"/>
      <c r="E119" s="20"/>
      <c r="F119" s="99" t="s">
        <v>83</v>
      </c>
      <c r="G119" s="21">
        <f t="shared" ref="G119:T119" si="38">G120+G121+G122+G123</f>
        <v>101500</v>
      </c>
      <c r="H119" s="21">
        <f t="shared" si="38"/>
        <v>0</v>
      </c>
      <c r="I119" s="22">
        <f t="shared" si="38"/>
        <v>0</v>
      </c>
      <c r="J119" s="22">
        <f t="shared" si="38"/>
        <v>0</v>
      </c>
      <c r="K119" s="22">
        <f t="shared" si="38"/>
        <v>0</v>
      </c>
      <c r="L119" s="22">
        <f t="shared" si="38"/>
        <v>0</v>
      </c>
      <c r="M119" s="22">
        <f t="shared" si="38"/>
        <v>0</v>
      </c>
      <c r="N119" s="22">
        <f t="shared" si="38"/>
        <v>0</v>
      </c>
      <c r="O119" s="22">
        <f t="shared" si="38"/>
        <v>0</v>
      </c>
      <c r="P119" s="22">
        <f t="shared" si="38"/>
        <v>0</v>
      </c>
      <c r="Q119" s="22">
        <f t="shared" si="38"/>
        <v>0</v>
      </c>
      <c r="R119" s="22">
        <f t="shared" si="38"/>
        <v>0</v>
      </c>
      <c r="S119" s="22">
        <f t="shared" si="38"/>
        <v>0</v>
      </c>
      <c r="T119" s="87">
        <f t="shared" si="38"/>
        <v>101500</v>
      </c>
    </row>
    <row r="120" spans="1:22" ht="15.75">
      <c r="A120" s="15">
        <v>2</v>
      </c>
      <c r="B120" s="15">
        <v>3</v>
      </c>
      <c r="C120" s="19">
        <v>3</v>
      </c>
      <c r="D120" s="15">
        <v>1</v>
      </c>
      <c r="E120" s="15"/>
      <c r="F120" s="98" t="s">
        <v>84</v>
      </c>
      <c r="G120" s="33">
        <v>68000</v>
      </c>
      <c r="H120" s="33"/>
      <c r="I120" s="36"/>
      <c r="J120" s="83"/>
      <c r="K120" s="36"/>
      <c r="L120" s="83"/>
      <c r="M120" s="36"/>
      <c r="N120" s="36"/>
      <c r="O120" s="36"/>
      <c r="P120" s="36"/>
      <c r="Q120" s="36"/>
      <c r="R120" s="36"/>
      <c r="S120" s="36">
        <f>+I120+J120+K120+L120+M120+N120+O120+P120+Q120+R120</f>
        <v>0</v>
      </c>
      <c r="T120" s="139">
        <f>+G120-S120</f>
        <v>68000</v>
      </c>
    </row>
    <row r="121" spans="1:22" ht="31.5">
      <c r="A121" s="15">
        <v>2</v>
      </c>
      <c r="B121" s="15">
        <v>3</v>
      </c>
      <c r="C121" s="19">
        <v>3</v>
      </c>
      <c r="D121" s="15">
        <v>2</v>
      </c>
      <c r="E121" s="15"/>
      <c r="F121" s="98" t="s">
        <v>85</v>
      </c>
      <c r="G121" s="34">
        <v>23000</v>
      </c>
      <c r="H121" s="34"/>
      <c r="I121" s="35">
        <v>0</v>
      </c>
      <c r="J121" s="83"/>
      <c r="K121" s="35"/>
      <c r="L121" s="83"/>
      <c r="M121" s="35"/>
      <c r="N121" s="35"/>
      <c r="O121" s="35"/>
      <c r="P121" s="35"/>
      <c r="Q121" s="35"/>
      <c r="R121" s="35"/>
      <c r="S121" s="35">
        <f>+I121+J121+K121+L121+M121+N121+O121+P121+Q121+R121</f>
        <v>0</v>
      </c>
      <c r="T121" s="139">
        <f>+G121-S121</f>
        <v>23000</v>
      </c>
      <c r="V121" s="65"/>
    </row>
    <row r="122" spans="1:22" ht="15.75">
      <c r="A122" s="15">
        <v>2</v>
      </c>
      <c r="B122" s="15">
        <v>3</v>
      </c>
      <c r="C122" s="19">
        <v>3</v>
      </c>
      <c r="D122" s="15">
        <v>3</v>
      </c>
      <c r="E122" s="15"/>
      <c r="F122" s="98" t="s">
        <v>86</v>
      </c>
      <c r="G122" s="34">
        <v>0</v>
      </c>
      <c r="H122" s="34"/>
      <c r="I122" s="35">
        <v>0</v>
      </c>
      <c r="J122" s="83"/>
      <c r="K122" s="35"/>
      <c r="L122" s="83"/>
      <c r="M122" s="35"/>
      <c r="N122" s="35"/>
      <c r="O122" s="35"/>
      <c r="P122" s="35"/>
      <c r="Q122" s="35"/>
      <c r="R122" s="35"/>
      <c r="S122" s="35">
        <f>+I122+J122+K122+L122+M122+N122+O122+P122+Q122+R122</f>
        <v>0</v>
      </c>
      <c r="T122" s="139">
        <v>0</v>
      </c>
    </row>
    <row r="123" spans="1:22" ht="31.5">
      <c r="A123" s="15">
        <v>2</v>
      </c>
      <c r="B123" s="15">
        <v>3</v>
      </c>
      <c r="C123" s="19">
        <v>3</v>
      </c>
      <c r="D123" s="15">
        <v>4</v>
      </c>
      <c r="E123" s="15"/>
      <c r="F123" s="98" t="s">
        <v>87</v>
      </c>
      <c r="G123" s="34">
        <v>10500</v>
      </c>
      <c r="H123" s="34"/>
      <c r="I123" s="35"/>
      <c r="J123" s="83"/>
      <c r="K123" s="35"/>
      <c r="L123" s="83"/>
      <c r="M123" s="35"/>
      <c r="N123" s="35"/>
      <c r="O123" s="35"/>
      <c r="P123" s="35"/>
      <c r="Q123" s="35"/>
      <c r="R123" s="35"/>
      <c r="S123" s="35">
        <f>+I123+J123+K123+L123+M123+N123+O123+P123+Q123+R123</f>
        <v>0</v>
      </c>
      <c r="T123" s="139">
        <f>+G123-S123</f>
        <v>10500</v>
      </c>
    </row>
    <row r="124" spans="1:22" s="1" customFormat="1" ht="16.5" thickBot="1">
      <c r="A124" s="15"/>
      <c r="B124" s="15"/>
      <c r="C124" s="19"/>
      <c r="D124" s="15"/>
      <c r="E124" s="15"/>
      <c r="F124" s="98"/>
      <c r="G124" s="34"/>
      <c r="H124" s="34"/>
      <c r="I124" s="35"/>
      <c r="J124" s="83"/>
      <c r="K124" s="35"/>
      <c r="L124" s="83"/>
      <c r="M124" s="35"/>
      <c r="N124" s="35"/>
      <c r="O124" s="35"/>
      <c r="P124" s="35"/>
      <c r="Q124" s="35"/>
      <c r="R124" s="35"/>
      <c r="S124" s="35"/>
      <c r="T124" s="139"/>
      <c r="U124" s="67"/>
    </row>
    <row r="125" spans="1:22" s="1" customFormat="1" ht="48" thickBot="1">
      <c r="A125" s="20">
        <v>2</v>
      </c>
      <c r="B125" s="20">
        <v>3</v>
      </c>
      <c r="C125" s="46">
        <v>7</v>
      </c>
      <c r="D125" s="20"/>
      <c r="E125" s="20"/>
      <c r="F125" s="100" t="s">
        <v>88</v>
      </c>
      <c r="G125" s="21">
        <f t="shared" ref="G125:T126" si="39">G126</f>
        <v>480000</v>
      </c>
      <c r="H125" s="27">
        <f t="shared" si="39"/>
        <v>0</v>
      </c>
      <c r="I125" s="39">
        <f t="shared" si="39"/>
        <v>0</v>
      </c>
      <c r="J125" s="103">
        <f t="shared" si="39"/>
        <v>70000</v>
      </c>
      <c r="K125" s="39">
        <f t="shared" si="39"/>
        <v>0</v>
      </c>
      <c r="L125" s="103">
        <f t="shared" si="39"/>
        <v>0</v>
      </c>
      <c r="M125" s="39">
        <f t="shared" si="39"/>
        <v>0</v>
      </c>
      <c r="N125" s="39">
        <f t="shared" si="39"/>
        <v>0</v>
      </c>
      <c r="O125" s="39">
        <f t="shared" si="39"/>
        <v>70000</v>
      </c>
      <c r="P125" s="39">
        <f t="shared" si="39"/>
        <v>0</v>
      </c>
      <c r="Q125" s="39">
        <f t="shared" si="39"/>
        <v>0</v>
      </c>
      <c r="R125" s="39">
        <f t="shared" si="39"/>
        <v>0</v>
      </c>
      <c r="S125" s="39">
        <f t="shared" si="39"/>
        <v>140000</v>
      </c>
      <c r="T125" s="142">
        <f t="shared" si="39"/>
        <v>340000</v>
      </c>
    </row>
    <row r="126" spans="1:22" s="5" customFormat="1" ht="32.25" thickBot="1">
      <c r="A126" s="20">
        <v>2</v>
      </c>
      <c r="B126" s="20">
        <v>3</v>
      </c>
      <c r="C126" s="46">
        <v>7</v>
      </c>
      <c r="D126" s="20">
        <v>1</v>
      </c>
      <c r="E126" s="20"/>
      <c r="F126" s="100" t="s">
        <v>89</v>
      </c>
      <c r="G126" s="21">
        <f t="shared" si="39"/>
        <v>480000</v>
      </c>
      <c r="H126" s="23">
        <f t="shared" si="39"/>
        <v>0</v>
      </c>
      <c r="I126" s="26">
        <f t="shared" si="39"/>
        <v>0</v>
      </c>
      <c r="J126" s="156">
        <f t="shared" si="39"/>
        <v>70000</v>
      </c>
      <c r="K126" s="26">
        <f t="shared" si="39"/>
        <v>0</v>
      </c>
      <c r="L126" s="156">
        <f t="shared" si="39"/>
        <v>0</v>
      </c>
      <c r="M126" s="26">
        <f t="shared" si="39"/>
        <v>0</v>
      </c>
      <c r="N126" s="26">
        <f t="shared" si="39"/>
        <v>0</v>
      </c>
      <c r="O126" s="26">
        <f>O127</f>
        <v>70000</v>
      </c>
      <c r="P126" s="26">
        <f>P127</f>
        <v>0</v>
      </c>
      <c r="Q126" s="26">
        <f>Q127</f>
        <v>0</v>
      </c>
      <c r="R126" s="26">
        <f>R127</f>
        <v>0</v>
      </c>
      <c r="S126" s="26">
        <f t="shared" si="39"/>
        <v>140000</v>
      </c>
      <c r="T126" s="142">
        <f>T127</f>
        <v>340000</v>
      </c>
    </row>
    <row r="127" spans="1:22" ht="15.75">
      <c r="A127" s="42">
        <v>2</v>
      </c>
      <c r="B127" s="42">
        <v>3</v>
      </c>
      <c r="C127" s="47">
        <v>7</v>
      </c>
      <c r="D127" s="42">
        <v>1</v>
      </c>
      <c r="E127" s="42">
        <v>1</v>
      </c>
      <c r="F127" s="101" t="s">
        <v>90</v>
      </c>
      <c r="G127" s="34">
        <v>480000</v>
      </c>
      <c r="H127" s="33"/>
      <c r="I127" s="36"/>
      <c r="J127" s="62">
        <v>70000</v>
      </c>
      <c r="K127" s="36"/>
      <c r="L127" s="64"/>
      <c r="M127" s="36"/>
      <c r="N127" s="36"/>
      <c r="O127" s="36">
        <v>70000</v>
      </c>
      <c r="P127" s="36"/>
      <c r="Q127" s="36"/>
      <c r="R127" s="36"/>
      <c r="S127" s="36">
        <f>+I127+J127+K127+L127+M127+N127+O127+P127+Q127+R127</f>
        <v>140000</v>
      </c>
      <c r="T127" s="140">
        <f>+G127-S127</f>
        <v>340000</v>
      </c>
      <c r="U127" s="65"/>
    </row>
    <row r="128" spans="1:22" ht="15.75">
      <c r="A128" s="15"/>
      <c r="B128" s="15"/>
      <c r="C128" s="19"/>
      <c r="D128" s="15"/>
      <c r="E128" s="15"/>
      <c r="F128" s="101"/>
      <c r="G128" s="34"/>
      <c r="H128" s="34"/>
      <c r="I128" s="35"/>
      <c r="J128" s="61"/>
      <c r="K128" s="35"/>
      <c r="L128" s="83"/>
      <c r="M128" s="35"/>
      <c r="N128" s="35"/>
      <c r="O128" s="35"/>
      <c r="P128" s="35"/>
      <c r="Q128" s="35"/>
      <c r="R128" s="35"/>
      <c r="S128" s="35"/>
      <c r="T128" s="139"/>
    </row>
    <row r="129" spans="1:22" ht="16.5" thickBot="1">
      <c r="A129" s="15">
        <v>2</v>
      </c>
      <c r="B129" s="15">
        <v>3</v>
      </c>
      <c r="C129" s="19">
        <v>9</v>
      </c>
      <c r="D129" s="15"/>
      <c r="E129" s="20"/>
      <c r="F129" s="99" t="s">
        <v>91</v>
      </c>
      <c r="G129" s="55">
        <f>SUM(G130:G134)</f>
        <v>413000</v>
      </c>
      <c r="H129" s="21">
        <f>SUM(H130:H134)</f>
        <v>0</v>
      </c>
      <c r="I129" s="22">
        <f>I130+I131+I132+I133+I134+I135</f>
        <v>23445.010000000002</v>
      </c>
      <c r="J129" s="59">
        <f t="shared" ref="J129:T129" si="40">J130+J131+J132+J133+J134+J135</f>
        <v>100394.68</v>
      </c>
      <c r="K129" s="22">
        <f t="shared" si="40"/>
        <v>206026.82</v>
      </c>
      <c r="L129" s="84">
        <f t="shared" si="40"/>
        <v>29976.03</v>
      </c>
      <c r="M129" s="22">
        <f t="shared" si="40"/>
        <v>800</v>
      </c>
      <c r="N129" s="22">
        <f t="shared" si="40"/>
        <v>11650.55</v>
      </c>
      <c r="O129" s="22">
        <f t="shared" si="40"/>
        <v>120200.81999999999</v>
      </c>
      <c r="P129" s="22">
        <f t="shared" si="40"/>
        <v>600</v>
      </c>
      <c r="Q129" s="22">
        <f t="shared" si="40"/>
        <v>9110.75</v>
      </c>
      <c r="R129" s="22">
        <f t="shared" si="40"/>
        <v>26243.4</v>
      </c>
      <c r="S129" s="22">
        <f t="shared" si="40"/>
        <v>528448.05999999994</v>
      </c>
      <c r="T129" s="87">
        <f t="shared" si="40"/>
        <v>-115448.05999999994</v>
      </c>
      <c r="U129" s="28"/>
    </row>
    <row r="130" spans="1:22" ht="15.75">
      <c r="A130" s="15">
        <v>2</v>
      </c>
      <c r="B130" s="15">
        <v>3</v>
      </c>
      <c r="C130" s="19">
        <v>9</v>
      </c>
      <c r="D130" s="15">
        <v>1</v>
      </c>
      <c r="E130" s="15"/>
      <c r="F130" s="101" t="s">
        <v>92</v>
      </c>
      <c r="G130" s="33">
        <v>8000</v>
      </c>
      <c r="H130" s="34"/>
      <c r="I130" s="35"/>
      <c r="J130" s="61"/>
      <c r="K130" s="61"/>
      <c r="L130" s="61"/>
      <c r="M130" s="61"/>
      <c r="N130" s="61"/>
      <c r="O130" s="61"/>
      <c r="P130" s="61"/>
      <c r="Q130" s="61"/>
      <c r="R130" s="61"/>
      <c r="S130" s="35">
        <f>+I130+J130+K130+L130+M130+N130+O130+P130+Q130+R130</f>
        <v>0</v>
      </c>
      <c r="T130" s="139">
        <f>+G130-S130</f>
        <v>8000</v>
      </c>
      <c r="U130" s="65"/>
    </row>
    <row r="131" spans="1:22" ht="31.5">
      <c r="A131" s="15">
        <v>2</v>
      </c>
      <c r="B131" s="15">
        <v>3</v>
      </c>
      <c r="C131" s="19">
        <v>9</v>
      </c>
      <c r="D131" s="15">
        <v>2</v>
      </c>
      <c r="E131" s="15"/>
      <c r="F131" s="101" t="s">
        <v>93</v>
      </c>
      <c r="G131" s="34">
        <v>150000</v>
      </c>
      <c r="H131" s="34"/>
      <c r="I131" s="35">
        <f>1820+3150</f>
        <v>4970</v>
      </c>
      <c r="J131" s="35">
        <f>177+140+140+21661.68+74930</f>
        <v>97048.68</v>
      </c>
      <c r="K131" s="61">
        <f>198000+306.8+4576.32</f>
        <v>202883.12</v>
      </c>
      <c r="L131" s="61">
        <v>3406.8</v>
      </c>
      <c r="M131" s="61"/>
      <c r="N131" s="61">
        <f>5400+2211.6</f>
        <v>7611.6</v>
      </c>
      <c r="O131" s="61">
        <f>28033.37+32568</f>
        <v>60601.369999999995</v>
      </c>
      <c r="P131" s="157"/>
      <c r="Q131" s="61"/>
      <c r="R131" s="61"/>
      <c r="S131" s="146">
        <f>+I131+J131+K131+L131+M131+N131+O131+P131+Q131+R131</f>
        <v>376521.56999999995</v>
      </c>
      <c r="T131" s="139">
        <f>+G131-S131</f>
        <v>-226521.56999999995</v>
      </c>
      <c r="U131" s="65"/>
      <c r="V131" s="65"/>
    </row>
    <row r="132" spans="1:22" ht="15.75">
      <c r="A132" s="15">
        <v>2</v>
      </c>
      <c r="B132" s="42">
        <v>3</v>
      </c>
      <c r="C132" s="42">
        <v>9</v>
      </c>
      <c r="D132" s="15">
        <v>5</v>
      </c>
      <c r="E132" s="15"/>
      <c r="F132" s="109" t="s">
        <v>94</v>
      </c>
      <c r="G132" s="34">
        <v>10000</v>
      </c>
      <c r="H132" s="34"/>
      <c r="I132" s="35">
        <f>14074+763.01</f>
        <v>14837.01</v>
      </c>
      <c r="J132" s="35">
        <v>2746</v>
      </c>
      <c r="K132" s="61">
        <f>258.95+1439.15+687.85+289.9</f>
        <v>2675.8500000000004</v>
      </c>
      <c r="L132" s="61">
        <f>25785.2+100+415.03+169</f>
        <v>26469.23</v>
      </c>
      <c r="M132" s="61"/>
      <c r="N132" s="61"/>
      <c r="O132" s="61">
        <v>16531.45</v>
      </c>
      <c r="P132" s="157"/>
      <c r="Q132" s="61">
        <f>258.95+2096.95</f>
        <v>2355.8999999999996</v>
      </c>
      <c r="R132" s="61">
        <f>21196.7+517.9</f>
        <v>21714.600000000002</v>
      </c>
      <c r="S132" s="146">
        <f>+I132+J132+K132+L132+M132+N132+O132+P132+Q132+R132</f>
        <v>87330.04</v>
      </c>
      <c r="T132" s="139">
        <f>+G132-S132</f>
        <v>-77330.039999999994</v>
      </c>
      <c r="U132" s="88"/>
      <c r="V132" s="65"/>
    </row>
    <row r="133" spans="1:22" ht="31.5">
      <c r="A133" s="15">
        <v>2</v>
      </c>
      <c r="B133" s="15">
        <v>3</v>
      </c>
      <c r="C133" s="19">
        <v>9</v>
      </c>
      <c r="D133" s="15">
        <v>8</v>
      </c>
      <c r="E133" s="15"/>
      <c r="F133" s="108" t="s">
        <v>95</v>
      </c>
      <c r="G133" s="34">
        <v>20000</v>
      </c>
      <c r="H133" s="34"/>
      <c r="I133" s="35"/>
      <c r="J133" s="35"/>
      <c r="K133" s="61"/>
      <c r="L133" s="61"/>
      <c r="M133" s="61"/>
      <c r="N133" s="61"/>
      <c r="O133" s="61">
        <v>42668</v>
      </c>
      <c r="P133" s="157"/>
      <c r="Q133" s="157"/>
      <c r="R133" s="157"/>
      <c r="S133" s="146">
        <f>+I133+J133+K133+L133+M133+N133+O133+P133+Q133+R133</f>
        <v>42668</v>
      </c>
      <c r="T133" s="139">
        <f>+G133-S133</f>
        <v>-22668</v>
      </c>
      <c r="U133" s="65"/>
    </row>
    <row r="134" spans="1:22" ht="31.5">
      <c r="A134" s="15">
        <v>2</v>
      </c>
      <c r="B134" s="15">
        <v>3</v>
      </c>
      <c r="C134" s="19">
        <v>9</v>
      </c>
      <c r="D134" s="15">
        <v>9</v>
      </c>
      <c r="E134" s="15"/>
      <c r="F134" s="108" t="s">
        <v>96</v>
      </c>
      <c r="G134" s="34">
        <v>225000</v>
      </c>
      <c r="H134" s="34"/>
      <c r="I134" s="35">
        <v>3638</v>
      </c>
      <c r="J134" s="35">
        <v>600</v>
      </c>
      <c r="K134" s="61">
        <v>467.85</v>
      </c>
      <c r="L134" s="61">
        <v>100</v>
      </c>
      <c r="M134" s="61">
        <v>800</v>
      </c>
      <c r="N134" s="61">
        <f>985+579.95+1685+789</f>
        <v>4038.95</v>
      </c>
      <c r="O134" s="61">
        <f>300+100</f>
        <v>400</v>
      </c>
      <c r="P134" s="157">
        <v>600</v>
      </c>
      <c r="Q134" s="61">
        <f>1830+395+399.95+3979.9+50+100</f>
        <v>6754.85</v>
      </c>
      <c r="R134" s="61">
        <f>396+373.9+2800+888.9+70</f>
        <v>4528.8</v>
      </c>
      <c r="S134" s="146">
        <f>+I134+J134+K134+L134+M134+N134+O134+P134+Q134+R134</f>
        <v>21928.45</v>
      </c>
      <c r="T134" s="139">
        <f>+G134-S134</f>
        <v>203071.55</v>
      </c>
      <c r="U134" s="65"/>
      <c r="V134" s="2"/>
    </row>
    <row r="135" spans="1:22" ht="15.75">
      <c r="A135" s="15">
        <v>2</v>
      </c>
      <c r="B135" s="15">
        <v>3</v>
      </c>
      <c r="C135" s="19">
        <v>9</v>
      </c>
      <c r="D135" s="15">
        <v>9</v>
      </c>
      <c r="E135" s="15">
        <v>2</v>
      </c>
      <c r="F135" s="108" t="s">
        <v>97</v>
      </c>
      <c r="G135" s="34"/>
      <c r="H135" s="34"/>
      <c r="I135" s="35">
        <v>0</v>
      </c>
      <c r="J135" s="35"/>
      <c r="K135" s="61"/>
      <c r="L135" s="61"/>
      <c r="M135" s="61"/>
      <c r="N135" s="61"/>
      <c r="O135" s="61"/>
      <c r="P135" s="61"/>
      <c r="Q135" s="61"/>
      <c r="R135" s="61"/>
      <c r="S135" s="146">
        <f t="shared" ref="S135:S136" si="41">+I135+J135+K135+L135+M135+N135+O135+P135+Q135+R135</f>
        <v>0</v>
      </c>
      <c r="T135" s="139">
        <v>0</v>
      </c>
      <c r="U135" s="65"/>
    </row>
    <row r="136" spans="1:22" ht="15.75">
      <c r="A136" s="15"/>
      <c r="B136" s="15"/>
      <c r="C136" s="19"/>
      <c r="D136" s="15"/>
      <c r="E136" s="15"/>
      <c r="F136" s="101"/>
      <c r="G136" s="34"/>
      <c r="H136" s="34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146">
        <f t="shared" si="41"/>
        <v>0</v>
      </c>
      <c r="T136" s="139"/>
      <c r="U136" s="65"/>
    </row>
    <row r="137" spans="1:22" ht="32.25" thickBot="1">
      <c r="A137" s="15">
        <v>2</v>
      </c>
      <c r="B137" s="15">
        <v>6</v>
      </c>
      <c r="C137" s="19"/>
      <c r="D137" s="15"/>
      <c r="E137" s="20"/>
      <c r="F137" s="99" t="s">
        <v>98</v>
      </c>
      <c r="G137" s="28">
        <f>G138+G146+G150</f>
        <v>0</v>
      </c>
      <c r="H137" s="28">
        <f>H138+H146+H150</f>
        <v>760000</v>
      </c>
      <c r="I137" s="28">
        <f t="shared" ref="I137:R137" si="42">I138+I146+I150</f>
        <v>0</v>
      </c>
      <c r="J137" s="28">
        <f t="shared" si="42"/>
        <v>0</v>
      </c>
      <c r="K137" s="28">
        <f t="shared" si="42"/>
        <v>0</v>
      </c>
      <c r="L137" s="28">
        <f>L138+L146+L150</f>
        <v>15482.89</v>
      </c>
      <c r="M137" s="28">
        <f t="shared" si="42"/>
        <v>0</v>
      </c>
      <c r="N137" s="28">
        <f t="shared" si="42"/>
        <v>0</v>
      </c>
      <c r="O137" s="28">
        <f t="shared" si="42"/>
        <v>36723.96</v>
      </c>
      <c r="P137" s="28">
        <f t="shared" si="42"/>
        <v>0</v>
      </c>
      <c r="Q137" s="28">
        <f t="shared" si="42"/>
        <v>0</v>
      </c>
      <c r="R137" s="28">
        <f t="shared" si="42"/>
        <v>17570.2</v>
      </c>
      <c r="S137" s="28">
        <f>S138+S146+S150</f>
        <v>69777.049999999988</v>
      </c>
      <c r="T137" s="134">
        <f t="shared" ref="T137" si="43">T138+T146+T150+T139</f>
        <v>-15482.89</v>
      </c>
      <c r="U137" s="88"/>
    </row>
    <row r="138" spans="1:22" ht="16.5" thickBot="1">
      <c r="A138" s="15">
        <v>2</v>
      </c>
      <c r="B138" s="15">
        <v>6</v>
      </c>
      <c r="C138" s="19">
        <v>1</v>
      </c>
      <c r="D138" s="15"/>
      <c r="E138" s="42"/>
      <c r="F138" s="100" t="s">
        <v>99</v>
      </c>
      <c r="G138" s="25">
        <f>G140+G141+G142+G144+G145</f>
        <v>0</v>
      </c>
      <c r="H138" s="25">
        <f>+H139+H140+H141+H142+H143+H144</f>
        <v>760000</v>
      </c>
      <c r="I138" s="25">
        <f t="shared" ref="I138:R138" si="44">+I139+I140+I141+I142+I143+I144</f>
        <v>0</v>
      </c>
      <c r="J138" s="25">
        <f t="shared" si="44"/>
        <v>0</v>
      </c>
      <c r="K138" s="25">
        <f t="shared" si="44"/>
        <v>0</v>
      </c>
      <c r="L138" s="25">
        <f t="shared" si="44"/>
        <v>15482.89</v>
      </c>
      <c r="M138" s="25">
        <f t="shared" si="44"/>
        <v>0</v>
      </c>
      <c r="N138" s="25">
        <f t="shared" si="44"/>
        <v>0</v>
      </c>
      <c r="O138" s="25">
        <f t="shared" si="44"/>
        <v>36723.96</v>
      </c>
      <c r="P138" s="25">
        <f t="shared" si="44"/>
        <v>0</v>
      </c>
      <c r="Q138" s="25">
        <f t="shared" si="44"/>
        <v>0</v>
      </c>
      <c r="R138" s="25">
        <f t="shared" si="44"/>
        <v>17570.2</v>
      </c>
      <c r="S138" s="25">
        <f>+S139+S140+S141+S142+S143+S144</f>
        <v>69777.049999999988</v>
      </c>
      <c r="T138" s="82">
        <f t="shared" ref="I138:T139" si="45">T140+T141+T142+T144+T145</f>
        <v>0</v>
      </c>
      <c r="U138" s="88"/>
      <c r="V138" s="88"/>
    </row>
    <row r="139" spans="1:22" ht="16.5" thickBot="1">
      <c r="A139" s="15">
        <v>2</v>
      </c>
      <c r="B139" s="15">
        <v>6</v>
      </c>
      <c r="C139" s="19">
        <v>8</v>
      </c>
      <c r="D139" s="15">
        <v>8</v>
      </c>
      <c r="E139" s="42"/>
      <c r="F139" s="32" t="s">
        <v>135</v>
      </c>
      <c r="G139" s="34">
        <f>G141+G142+G143+G145+G146</f>
        <v>0</v>
      </c>
      <c r="H139" s="34">
        <v>760000</v>
      </c>
      <c r="I139" s="34">
        <f t="shared" si="45"/>
        <v>0</v>
      </c>
      <c r="J139" s="34">
        <f t="shared" si="45"/>
        <v>0</v>
      </c>
      <c r="K139" s="158"/>
      <c r="L139" s="159">
        <v>15482.89</v>
      </c>
      <c r="M139" s="151"/>
      <c r="N139" s="151"/>
      <c r="O139" s="151"/>
      <c r="P139" s="151"/>
      <c r="Q139" s="151"/>
      <c r="R139" s="151"/>
      <c r="S139" s="151">
        <f>+I139+J139+K139+L139+M139+N139+O139+P139+Q139+R139</f>
        <v>15482.89</v>
      </c>
      <c r="T139" s="82">
        <f>+G139-S139</f>
        <v>-15482.89</v>
      </c>
      <c r="U139" s="160"/>
      <c r="V139" s="88"/>
    </row>
    <row r="140" spans="1:22" ht="31.5">
      <c r="A140" s="15">
        <v>2</v>
      </c>
      <c r="B140" s="15">
        <v>6</v>
      </c>
      <c r="C140" s="19">
        <v>1</v>
      </c>
      <c r="D140" s="15">
        <v>1</v>
      </c>
      <c r="E140" s="42"/>
      <c r="F140" s="98" t="s">
        <v>100</v>
      </c>
      <c r="G140" s="34"/>
      <c r="H140" s="34"/>
      <c r="I140" s="35"/>
      <c r="J140" s="35"/>
      <c r="K140" s="61"/>
      <c r="L140" s="35"/>
      <c r="M140" s="35"/>
      <c r="N140" s="35"/>
      <c r="O140" s="35"/>
      <c r="P140" s="35"/>
      <c r="Q140" s="35"/>
      <c r="R140" s="35">
        <f>7965+9605.2</f>
        <v>17570.2</v>
      </c>
      <c r="S140" s="35">
        <f>+I140+J140+K140+L140+M140+N140+O140+P140+Q140+R140</f>
        <v>17570.2</v>
      </c>
      <c r="T140" s="140"/>
      <c r="U140" s="161"/>
      <c r="V140" s="88"/>
    </row>
    <row r="141" spans="1:22" ht="15.75">
      <c r="A141" s="15">
        <v>2</v>
      </c>
      <c r="B141" s="15">
        <v>6</v>
      </c>
      <c r="C141" s="19">
        <v>1</v>
      </c>
      <c r="D141" s="15">
        <v>4</v>
      </c>
      <c r="E141" s="42"/>
      <c r="F141" s="98" t="s">
        <v>101</v>
      </c>
      <c r="G141" s="34"/>
      <c r="H141" s="34"/>
      <c r="I141" s="35"/>
      <c r="J141" s="35"/>
      <c r="K141" s="61"/>
      <c r="L141" s="35"/>
      <c r="M141" s="35"/>
      <c r="N141" s="35"/>
      <c r="O141" s="35">
        <v>36723.96</v>
      </c>
      <c r="P141" s="35"/>
      <c r="Q141" s="35"/>
      <c r="R141" s="35"/>
      <c r="S141" s="35">
        <f t="shared" ref="S141:S145" si="46">+I141+J141+K141+L141+M141+N141+O141+P141+Q141</f>
        <v>36723.96</v>
      </c>
      <c r="T141" s="139"/>
      <c r="U141" s="88"/>
      <c r="V141" s="88"/>
    </row>
    <row r="142" spans="1:22" ht="15.75">
      <c r="A142" s="15">
        <v>2</v>
      </c>
      <c r="B142" s="15">
        <v>6</v>
      </c>
      <c r="C142" s="19">
        <v>1</v>
      </c>
      <c r="D142" s="15">
        <v>7</v>
      </c>
      <c r="E142" s="42"/>
      <c r="F142" s="98" t="s">
        <v>102</v>
      </c>
      <c r="G142" s="34"/>
      <c r="H142" s="34"/>
      <c r="I142" s="35">
        <v>0</v>
      </c>
      <c r="J142" s="35"/>
      <c r="K142" s="61"/>
      <c r="L142" s="35"/>
      <c r="M142" s="35"/>
      <c r="N142" s="35"/>
      <c r="O142" s="35"/>
      <c r="P142" s="35"/>
      <c r="Q142" s="35"/>
      <c r="R142" s="35"/>
      <c r="S142" s="35">
        <f t="shared" si="46"/>
        <v>0</v>
      </c>
      <c r="T142" s="139">
        <v>0</v>
      </c>
      <c r="U142" s="88"/>
      <c r="V142" s="88"/>
    </row>
    <row r="143" spans="1:22" ht="15.75">
      <c r="A143" s="15">
        <v>2</v>
      </c>
      <c r="B143" s="15">
        <v>6</v>
      </c>
      <c r="C143" s="19">
        <v>1</v>
      </c>
      <c r="D143" s="15">
        <v>8</v>
      </c>
      <c r="E143" s="42"/>
      <c r="F143" s="98" t="s">
        <v>119</v>
      </c>
      <c r="G143" s="34"/>
      <c r="H143" s="34"/>
      <c r="I143" s="35"/>
      <c r="J143" s="35"/>
      <c r="K143" s="61"/>
      <c r="L143" s="35"/>
      <c r="M143" s="35"/>
      <c r="N143" s="35"/>
      <c r="O143" s="35"/>
      <c r="P143" s="35"/>
      <c r="Q143" s="35"/>
      <c r="R143" s="35"/>
      <c r="S143" s="35">
        <f t="shared" si="46"/>
        <v>0</v>
      </c>
      <c r="T143" s="139"/>
      <c r="U143" s="88"/>
      <c r="V143" s="88"/>
    </row>
    <row r="144" spans="1:22" ht="31.5">
      <c r="A144" s="15">
        <v>2</v>
      </c>
      <c r="B144" s="15">
        <v>6</v>
      </c>
      <c r="C144" s="19">
        <v>1</v>
      </c>
      <c r="D144" s="15">
        <v>9</v>
      </c>
      <c r="E144" s="42"/>
      <c r="F144" s="98" t="s">
        <v>103</v>
      </c>
      <c r="G144" s="34"/>
      <c r="H144" s="34"/>
      <c r="I144" s="35"/>
      <c r="J144" s="35"/>
      <c r="K144" s="61"/>
      <c r="L144" s="35"/>
      <c r="M144" s="35"/>
      <c r="N144" s="35"/>
      <c r="O144" s="35"/>
      <c r="P144" s="35"/>
      <c r="Q144" s="35"/>
      <c r="R144" s="35"/>
      <c r="S144" s="35">
        <f t="shared" si="46"/>
        <v>0</v>
      </c>
      <c r="T144" s="139"/>
      <c r="U144" s="65"/>
    </row>
    <row r="145" spans="1:24" ht="15.75">
      <c r="A145" s="15"/>
      <c r="B145" s="15"/>
      <c r="C145" s="19"/>
      <c r="D145" s="15"/>
      <c r="E145" s="20"/>
      <c r="F145" s="100"/>
      <c r="G145" s="27"/>
      <c r="H145" s="27"/>
      <c r="I145" s="28"/>
      <c r="J145" s="28"/>
      <c r="K145" s="60"/>
      <c r="L145" s="28"/>
      <c r="M145" s="28"/>
      <c r="N145" s="28"/>
      <c r="O145" s="28"/>
      <c r="P145" s="28"/>
      <c r="Q145" s="28"/>
      <c r="R145" s="28"/>
      <c r="S145" s="35">
        <f t="shared" si="46"/>
        <v>0</v>
      </c>
      <c r="T145" s="134">
        <f>+G145</f>
        <v>0</v>
      </c>
    </row>
    <row r="146" spans="1:24" ht="32.25" thickBot="1">
      <c r="A146" s="15">
        <v>2</v>
      </c>
      <c r="B146" s="15">
        <v>6</v>
      </c>
      <c r="C146" s="19">
        <v>2</v>
      </c>
      <c r="D146" s="15"/>
      <c r="E146" s="20"/>
      <c r="F146" s="100" t="s">
        <v>104</v>
      </c>
      <c r="G146" s="21">
        <f t="shared" ref="G146:T146" si="47">G147+G148</f>
        <v>0</v>
      </c>
      <c r="H146" s="21">
        <f t="shared" si="47"/>
        <v>0</v>
      </c>
      <c r="I146" s="39">
        <f t="shared" si="47"/>
        <v>0</v>
      </c>
      <c r="J146" s="39">
        <f t="shared" si="47"/>
        <v>0</v>
      </c>
      <c r="K146" s="90">
        <f t="shared" si="47"/>
        <v>0</v>
      </c>
      <c r="L146" s="39">
        <f t="shared" si="47"/>
        <v>0</v>
      </c>
      <c r="M146" s="39">
        <f t="shared" si="47"/>
        <v>0</v>
      </c>
      <c r="N146" s="39">
        <f t="shared" si="47"/>
        <v>0</v>
      </c>
      <c r="O146" s="39">
        <f t="shared" si="47"/>
        <v>0</v>
      </c>
      <c r="P146" s="39">
        <f t="shared" si="47"/>
        <v>0</v>
      </c>
      <c r="Q146" s="39">
        <f t="shared" si="47"/>
        <v>0</v>
      </c>
      <c r="R146" s="39">
        <f t="shared" si="47"/>
        <v>0</v>
      </c>
      <c r="S146" s="39">
        <f t="shared" si="47"/>
        <v>0</v>
      </c>
      <c r="T146" s="143">
        <f t="shared" si="47"/>
        <v>0</v>
      </c>
      <c r="U146" s="139"/>
    </row>
    <row r="147" spans="1:24" ht="31.5">
      <c r="A147" s="15">
        <v>2</v>
      </c>
      <c r="B147" s="15">
        <v>6</v>
      </c>
      <c r="C147" s="19">
        <v>2</v>
      </c>
      <c r="D147" s="15">
        <v>1</v>
      </c>
      <c r="E147" s="42"/>
      <c r="F147" s="101" t="s">
        <v>105</v>
      </c>
      <c r="G147" s="34"/>
      <c r="H147" s="34"/>
      <c r="I147" s="35">
        <v>0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>
        <f>+I147+J147+K147+L147+M147</f>
        <v>0</v>
      </c>
      <c r="T147" s="139">
        <v>0</v>
      </c>
    </row>
    <row r="148" spans="1:24" ht="31.5">
      <c r="A148" s="15">
        <v>2</v>
      </c>
      <c r="B148" s="15">
        <v>6</v>
      </c>
      <c r="C148" s="19">
        <v>2</v>
      </c>
      <c r="D148" s="15">
        <v>3</v>
      </c>
      <c r="E148" s="42"/>
      <c r="F148" s="101" t="s">
        <v>106</v>
      </c>
      <c r="G148" s="34"/>
      <c r="H148" s="34"/>
      <c r="I148" s="35">
        <f>G148*12</f>
        <v>0</v>
      </c>
      <c r="J148" s="35"/>
      <c r="K148" s="35"/>
      <c r="L148" s="35"/>
      <c r="M148" s="35"/>
      <c r="N148" s="35"/>
      <c r="O148" s="35"/>
      <c r="P148" s="35"/>
      <c r="Q148" s="35"/>
      <c r="R148" s="35"/>
      <c r="S148" s="35">
        <f>+I148+J148+K148+L148+M148</f>
        <v>0</v>
      </c>
      <c r="T148" s="139">
        <f>+G148-S148</f>
        <v>0</v>
      </c>
    </row>
    <row r="149" spans="1:24" ht="15.75">
      <c r="A149" s="15"/>
      <c r="B149" s="15"/>
      <c r="C149" s="19"/>
      <c r="D149" s="15"/>
      <c r="E149" s="20"/>
      <c r="F149" s="99"/>
      <c r="G149" s="27"/>
      <c r="H149" s="27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35">
        <f>+I149+J149+K149</f>
        <v>0</v>
      </c>
      <c r="T149" s="134"/>
    </row>
    <row r="150" spans="1:24" ht="48" thickBot="1">
      <c r="A150" s="15">
        <v>2</v>
      </c>
      <c r="B150" s="15">
        <v>6</v>
      </c>
      <c r="C150" s="19">
        <v>4</v>
      </c>
      <c r="D150" s="15"/>
      <c r="E150" s="20"/>
      <c r="F150" s="99" t="s">
        <v>107</v>
      </c>
      <c r="G150" s="27">
        <f>G152+G153+G151</f>
        <v>0</v>
      </c>
      <c r="H150" s="27">
        <f>H152+H153+H151</f>
        <v>0</v>
      </c>
      <c r="I150" s="35">
        <f t="shared" ref="I150:T150" si="48">I151+I152</f>
        <v>0</v>
      </c>
      <c r="J150" s="35">
        <f t="shared" si="48"/>
        <v>0</v>
      </c>
      <c r="K150" s="35">
        <f t="shared" si="48"/>
        <v>0</v>
      </c>
      <c r="L150" s="35">
        <f t="shared" si="48"/>
        <v>0</v>
      </c>
      <c r="M150" s="35">
        <f t="shared" si="48"/>
        <v>0</v>
      </c>
      <c r="N150" s="35">
        <f t="shared" si="48"/>
        <v>0</v>
      </c>
      <c r="O150" s="35">
        <f t="shared" si="48"/>
        <v>0</v>
      </c>
      <c r="P150" s="35">
        <f t="shared" si="48"/>
        <v>0</v>
      </c>
      <c r="Q150" s="35">
        <f t="shared" si="48"/>
        <v>0</v>
      </c>
      <c r="R150" s="35">
        <f t="shared" si="48"/>
        <v>0</v>
      </c>
      <c r="S150" s="35">
        <f t="shared" si="48"/>
        <v>0</v>
      </c>
      <c r="T150" s="139">
        <f t="shared" si="48"/>
        <v>0</v>
      </c>
      <c r="U150" s="88"/>
      <c r="V150" s="88"/>
    </row>
    <row r="151" spans="1:24" ht="47.25">
      <c r="A151" s="15">
        <v>2</v>
      </c>
      <c r="B151" s="15">
        <v>6</v>
      </c>
      <c r="C151" s="19">
        <v>4</v>
      </c>
      <c r="D151" s="15"/>
      <c r="E151" s="20"/>
      <c r="F151" s="98" t="s">
        <v>107</v>
      </c>
      <c r="G151" s="43"/>
      <c r="H151" s="43"/>
      <c r="I151" s="36">
        <v>0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>
        <f>+I151+J151+K151+L151+M151</f>
        <v>0</v>
      </c>
      <c r="T151" s="140">
        <v>0</v>
      </c>
      <c r="U151" s="88"/>
      <c r="V151" s="88"/>
    </row>
    <row r="152" spans="1:24" ht="15.75">
      <c r="A152" s="15">
        <v>2</v>
      </c>
      <c r="B152" s="15">
        <v>6</v>
      </c>
      <c r="C152" s="19">
        <v>4</v>
      </c>
      <c r="D152" s="15">
        <v>1</v>
      </c>
      <c r="E152" s="15"/>
      <c r="F152" s="98" t="s">
        <v>114</v>
      </c>
      <c r="G152" s="34"/>
      <c r="H152" s="34"/>
      <c r="I152" s="35">
        <v>0</v>
      </c>
      <c r="J152" s="35"/>
      <c r="K152" s="35"/>
      <c r="L152" s="35"/>
      <c r="M152" s="35"/>
      <c r="N152" s="35"/>
      <c r="O152" s="35"/>
      <c r="P152" s="35"/>
      <c r="Q152" s="35"/>
      <c r="R152" s="35"/>
      <c r="S152" s="35">
        <f>+I152+J152+K152</f>
        <v>0</v>
      </c>
      <c r="T152" s="139">
        <v>0</v>
      </c>
      <c r="U152" s="88"/>
      <c r="V152" s="88"/>
    </row>
    <row r="153" spans="1:24" ht="15.75">
      <c r="A153" s="15">
        <v>2</v>
      </c>
      <c r="B153" s="15">
        <v>6</v>
      </c>
      <c r="C153" s="19">
        <v>4</v>
      </c>
      <c r="D153" s="15">
        <v>7</v>
      </c>
      <c r="E153" s="15"/>
      <c r="F153" s="98" t="s">
        <v>108</v>
      </c>
      <c r="G153" s="34">
        <v>0</v>
      </c>
      <c r="H153" s="34"/>
      <c r="I153" s="35">
        <v>0</v>
      </c>
      <c r="J153" s="35"/>
      <c r="K153" s="35"/>
      <c r="L153" s="35"/>
      <c r="M153" s="35"/>
      <c r="N153" s="35"/>
      <c r="O153" s="35"/>
      <c r="P153" s="35"/>
      <c r="Q153" s="35"/>
      <c r="R153" s="35"/>
      <c r="S153" s="35">
        <f>+J153</f>
        <v>0</v>
      </c>
      <c r="T153" s="139">
        <v>0</v>
      </c>
      <c r="U153" s="88"/>
      <c r="V153" s="88"/>
    </row>
    <row r="154" spans="1:24" ht="16.5" thickBot="1">
      <c r="A154" s="15"/>
      <c r="B154" s="15"/>
      <c r="C154" s="19"/>
      <c r="D154" s="14"/>
      <c r="E154" s="15"/>
      <c r="F154" s="98"/>
      <c r="G154" s="37"/>
      <c r="H154" s="37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139"/>
      <c r="U154" s="88"/>
      <c r="V154" s="88"/>
    </row>
    <row r="155" spans="1:24" ht="16.5" thickBot="1">
      <c r="A155" s="48"/>
      <c r="B155" s="48"/>
      <c r="C155" s="49"/>
      <c r="D155" s="50"/>
      <c r="E155" s="50"/>
      <c r="F155" s="162" t="s">
        <v>109</v>
      </c>
      <c r="G155" s="21">
        <f>G111+G49+G13</f>
        <v>35039168</v>
      </c>
      <c r="H155" s="21">
        <f t="shared" ref="H155:S155" si="49">H111+H49+H13</f>
        <v>7135833</v>
      </c>
      <c r="I155" s="21">
        <f t="shared" si="49"/>
        <v>2386243.1800000002</v>
      </c>
      <c r="J155" s="21">
        <f t="shared" si="49"/>
        <v>3062383.18</v>
      </c>
      <c r="K155" s="21">
        <f t="shared" si="49"/>
        <v>2564734.8000000003</v>
      </c>
      <c r="L155" s="21">
        <f t="shared" si="49"/>
        <v>2281173.9300000002</v>
      </c>
      <c r="M155" s="21">
        <f t="shared" si="49"/>
        <v>2756891.2700000005</v>
      </c>
      <c r="N155" s="21">
        <f t="shared" si="49"/>
        <v>2317116.64</v>
      </c>
      <c r="O155" s="21">
        <f t="shared" si="49"/>
        <v>2658351.29</v>
      </c>
      <c r="P155" s="21">
        <f t="shared" si="49"/>
        <v>2373884.6900000004</v>
      </c>
      <c r="Q155" s="21">
        <f>Q111+Q49+Q13</f>
        <v>2771264.15</v>
      </c>
      <c r="R155" s="21">
        <f>R111+R49+R13</f>
        <v>3749440.66</v>
      </c>
      <c r="S155" s="21">
        <f t="shared" si="49"/>
        <v>26921483.789999999</v>
      </c>
      <c r="T155" s="149">
        <f>T111+T49+T13+T137</f>
        <v>8261591.660000002</v>
      </c>
      <c r="U155" s="88"/>
      <c r="V155" s="88"/>
    </row>
    <row r="156" spans="1:24" ht="15.75">
      <c r="A156" s="51"/>
      <c r="B156" s="51"/>
      <c r="C156" s="8"/>
      <c r="D156" s="8"/>
      <c r="E156" s="8"/>
      <c r="F156" s="8"/>
      <c r="G156" s="31"/>
      <c r="H156" s="31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31"/>
      <c r="T156" s="74"/>
      <c r="U156" s="88"/>
      <c r="V156" s="88"/>
      <c r="W156" s="6"/>
    </row>
    <row r="157" spans="1:24" ht="18">
      <c r="A157" s="51"/>
      <c r="B157" s="51"/>
      <c r="C157" s="8"/>
      <c r="D157" s="8"/>
      <c r="E157" s="53"/>
      <c r="F157" s="57"/>
      <c r="G157" s="31"/>
      <c r="H157" s="31"/>
      <c r="I157" s="163"/>
      <c r="J157" s="110"/>
      <c r="K157" s="163"/>
      <c r="L157" s="163"/>
      <c r="M157" s="163"/>
      <c r="N157" s="164"/>
      <c r="O157" s="164"/>
      <c r="P157" s="164"/>
      <c r="Q157" s="164"/>
      <c r="R157" s="164"/>
      <c r="S157" s="165"/>
      <c r="T157" s="76"/>
      <c r="U157" s="88"/>
      <c r="V157" s="88"/>
    </row>
    <row r="158" spans="1:24" ht="18">
      <c r="A158" s="51"/>
      <c r="B158" s="51"/>
      <c r="C158" s="8"/>
      <c r="D158" s="8"/>
      <c r="E158" s="54"/>
      <c r="F158" s="70"/>
      <c r="G158" s="112"/>
      <c r="H158" s="112"/>
      <c r="I158" s="113"/>
      <c r="J158" s="113"/>
      <c r="K158" s="113"/>
      <c r="L158" s="113"/>
      <c r="M158" s="113"/>
      <c r="N158" s="166"/>
      <c r="O158" s="166"/>
      <c r="P158" s="166"/>
      <c r="Q158" s="166"/>
      <c r="R158" s="166"/>
      <c r="S158" s="167"/>
      <c r="T158" s="77"/>
      <c r="U158" s="168"/>
      <c r="V158" s="113"/>
    </row>
    <row r="159" spans="1:24" ht="18.75" thickBot="1">
      <c r="A159" s="74"/>
      <c r="B159" s="74"/>
      <c r="C159" s="74"/>
      <c r="D159" s="74"/>
      <c r="E159" s="74"/>
      <c r="F159" s="70"/>
      <c r="G159" s="78"/>
      <c r="H159" s="78"/>
      <c r="I159" s="78"/>
      <c r="J159" s="78"/>
      <c r="K159" s="114"/>
      <c r="L159" s="114"/>
      <c r="M159" s="114"/>
      <c r="N159" s="169"/>
      <c r="O159" s="169"/>
      <c r="P159" s="169"/>
      <c r="Q159" s="169"/>
      <c r="R159" s="169"/>
      <c r="S159" s="170"/>
      <c r="T159" s="78"/>
      <c r="U159" s="171"/>
      <c r="V159" s="113"/>
      <c r="W159" s="6"/>
    </row>
    <row r="160" spans="1:24" ht="18">
      <c r="A160" s="74"/>
      <c r="B160" s="74"/>
      <c r="C160" s="74"/>
      <c r="D160" s="74"/>
      <c r="E160" s="74"/>
      <c r="F160" s="172" t="s">
        <v>118</v>
      </c>
      <c r="G160" s="78"/>
      <c r="H160" s="78"/>
      <c r="I160" s="78"/>
      <c r="J160" s="78"/>
      <c r="K160" s="114"/>
      <c r="L160" s="78"/>
      <c r="M160" s="78"/>
      <c r="N160" s="173"/>
      <c r="O160" s="173"/>
      <c r="P160" s="173"/>
      <c r="Q160" s="173"/>
      <c r="R160" s="173"/>
      <c r="S160" s="167"/>
      <c r="T160" s="70"/>
      <c r="U160" s="91"/>
      <c r="V160" s="78"/>
      <c r="X160" s="6"/>
    </row>
    <row r="161" spans="1:27" ht="18">
      <c r="A161" s="74"/>
      <c r="B161" s="74"/>
      <c r="C161" s="74"/>
      <c r="D161" s="74"/>
      <c r="E161" s="74"/>
      <c r="F161" s="70" t="s">
        <v>117</v>
      </c>
      <c r="G161" s="80"/>
      <c r="H161" s="78"/>
      <c r="I161" s="78"/>
      <c r="J161" s="78"/>
      <c r="K161" s="114"/>
      <c r="L161" s="78"/>
      <c r="M161" s="78"/>
      <c r="N161" s="173"/>
      <c r="O161" s="173"/>
      <c r="P161" s="173"/>
      <c r="Q161" s="173"/>
      <c r="R161" s="173"/>
      <c r="S161" s="167"/>
      <c r="T161" s="70"/>
      <c r="U161" s="91"/>
      <c r="V161" s="78"/>
      <c r="X161" s="6"/>
      <c r="Y161" s="6"/>
    </row>
    <row r="162" spans="1:27" ht="18">
      <c r="A162" s="74"/>
      <c r="B162" s="74"/>
      <c r="C162" s="74"/>
      <c r="D162" s="74"/>
      <c r="E162" s="74"/>
      <c r="F162" s="70"/>
      <c r="G162" s="78"/>
      <c r="H162" s="78"/>
      <c r="I162" s="78"/>
      <c r="J162" s="78"/>
      <c r="K162" s="114"/>
      <c r="L162" s="78"/>
      <c r="M162" s="78"/>
      <c r="N162" s="173"/>
      <c r="O162" s="173"/>
      <c r="P162" s="173"/>
      <c r="Q162" s="173"/>
      <c r="R162" s="173"/>
      <c r="S162" s="167"/>
      <c r="T162" s="70"/>
      <c r="U162" s="91"/>
      <c r="V162" s="78"/>
      <c r="W162" s="6"/>
      <c r="X162" s="6"/>
      <c r="Y162" s="6"/>
    </row>
    <row r="163" spans="1:27" ht="18">
      <c r="A163" s="74"/>
      <c r="B163" s="74"/>
      <c r="C163" s="74"/>
      <c r="D163" s="74"/>
      <c r="E163" s="74"/>
      <c r="F163" s="70"/>
      <c r="G163" s="80"/>
      <c r="H163" s="80"/>
      <c r="I163" s="97"/>
      <c r="J163" s="97"/>
      <c r="K163" s="97"/>
      <c r="L163" s="78"/>
      <c r="M163" s="78"/>
      <c r="N163" s="78"/>
      <c r="O163" s="78"/>
      <c r="P163" s="78"/>
      <c r="Q163" s="78"/>
      <c r="R163" s="78"/>
      <c r="S163" s="86"/>
      <c r="T163" s="93"/>
      <c r="U163" s="93"/>
      <c r="V163" s="78"/>
      <c r="Y163" s="6"/>
    </row>
    <row r="164" spans="1:27" ht="18">
      <c r="A164" s="74"/>
      <c r="B164" s="74"/>
      <c r="C164" s="74"/>
      <c r="D164" s="74"/>
      <c r="E164" s="74"/>
      <c r="F164" s="70"/>
      <c r="G164" s="81"/>
      <c r="H164" s="81"/>
      <c r="I164" s="97"/>
      <c r="J164" s="97"/>
      <c r="K164" s="174"/>
      <c r="L164" s="174"/>
      <c r="M164" s="174"/>
      <c r="N164" s="174"/>
      <c r="O164" s="174"/>
      <c r="P164" s="174"/>
      <c r="Q164" s="174"/>
      <c r="R164" s="174"/>
      <c r="S164" s="78"/>
      <c r="T164" s="77"/>
      <c r="U164" s="175"/>
      <c r="V164" s="78"/>
      <c r="W164" s="6"/>
      <c r="X164" s="6"/>
      <c r="AA164" s="6"/>
    </row>
    <row r="165" spans="1:27" ht="18">
      <c r="A165" s="74"/>
      <c r="B165" s="74"/>
      <c r="C165" s="74"/>
      <c r="D165" s="74"/>
      <c r="E165" s="74"/>
      <c r="F165" s="70"/>
      <c r="G165" s="81"/>
      <c r="H165" s="81"/>
      <c r="I165" s="97"/>
      <c r="J165" s="97"/>
      <c r="K165" s="174"/>
      <c r="L165" s="174"/>
      <c r="M165" s="174"/>
      <c r="N165" s="174"/>
      <c r="O165" s="174"/>
      <c r="P165" s="174"/>
      <c r="Q165" s="174"/>
      <c r="R165" s="174"/>
      <c r="S165" s="78"/>
      <c r="T165" s="77"/>
      <c r="U165" s="175"/>
      <c r="V165" s="78"/>
      <c r="W165" s="6"/>
      <c r="Y165" s="6"/>
    </row>
    <row r="166" spans="1:27" ht="18">
      <c r="A166" s="74"/>
      <c r="B166" s="74"/>
      <c r="C166" s="74"/>
      <c r="D166" s="74"/>
      <c r="E166" s="74"/>
      <c r="F166" s="70"/>
      <c r="G166" s="111"/>
      <c r="H166" s="111"/>
      <c r="I166" s="176"/>
      <c r="J166" s="176"/>
      <c r="K166" s="177"/>
      <c r="L166" s="177"/>
      <c r="M166" s="177"/>
      <c r="N166" s="177"/>
      <c r="O166" s="177"/>
      <c r="P166" s="177"/>
      <c r="Q166" s="177"/>
      <c r="R166" s="177"/>
      <c r="S166" s="94"/>
      <c r="T166" s="95"/>
      <c r="U166" s="6"/>
      <c r="V166" s="78"/>
      <c r="AA166" s="6"/>
    </row>
    <row r="167" spans="1:27" ht="18">
      <c r="A167" s="74"/>
      <c r="B167" s="74"/>
      <c r="C167" s="74"/>
      <c r="D167" s="74"/>
      <c r="E167" s="74"/>
      <c r="F167" s="70"/>
      <c r="G167" s="111"/>
      <c r="H167" s="111"/>
      <c r="I167" s="176"/>
      <c r="J167" s="176"/>
      <c r="K167" s="177"/>
      <c r="L167" s="177"/>
      <c r="M167" s="177"/>
      <c r="N167" s="177"/>
      <c r="O167" s="177"/>
      <c r="P167" s="177"/>
      <c r="Q167" s="177"/>
      <c r="R167" s="177"/>
      <c r="S167" s="94"/>
      <c r="T167" s="95"/>
      <c r="U167" s="6"/>
      <c r="V167" s="78"/>
      <c r="X167" s="6"/>
      <c r="Y167" s="6"/>
    </row>
    <row r="168" spans="1:27" ht="18">
      <c r="A168" s="74"/>
      <c r="B168" s="74"/>
      <c r="C168" s="74"/>
      <c r="D168" s="74"/>
      <c r="E168" s="74"/>
      <c r="F168" s="70"/>
      <c r="G168" s="111"/>
      <c r="H168" s="111"/>
      <c r="I168" s="176"/>
      <c r="J168" s="176"/>
      <c r="K168" s="177"/>
      <c r="L168" s="177"/>
      <c r="M168" s="177"/>
      <c r="N168" s="177"/>
      <c r="O168" s="177"/>
      <c r="P168" s="177"/>
      <c r="Q168" s="177"/>
      <c r="R168" s="177"/>
      <c r="S168" s="94"/>
      <c r="T168" s="95"/>
      <c r="U168" s="6"/>
      <c r="V168" s="78"/>
      <c r="X168" s="6"/>
    </row>
    <row r="169" spans="1:27" ht="18.75" thickBot="1">
      <c r="A169" s="74"/>
      <c r="B169" s="74"/>
      <c r="C169" s="74"/>
      <c r="D169" s="74"/>
      <c r="E169" s="74"/>
      <c r="F169" s="79"/>
      <c r="G169" s="178"/>
      <c r="H169" s="178"/>
      <c r="I169" s="97"/>
      <c r="J169" s="96"/>
      <c r="K169" s="97"/>
      <c r="L169" s="94"/>
      <c r="M169" s="94"/>
      <c r="N169" s="94"/>
      <c r="O169" s="94"/>
      <c r="P169" s="94"/>
      <c r="Q169" s="94"/>
      <c r="R169" s="94"/>
      <c r="S169" s="86"/>
      <c r="T169" s="94"/>
      <c r="U169" s="2"/>
      <c r="V169" s="85"/>
      <c r="Z169" s="6"/>
    </row>
    <row r="170" spans="1:27" ht="18">
      <c r="A170" s="74"/>
      <c r="B170" s="74"/>
      <c r="C170" s="74"/>
      <c r="D170" s="74"/>
      <c r="E170" s="74"/>
      <c r="F170" s="70" t="s">
        <v>136</v>
      </c>
      <c r="G170" s="70"/>
      <c r="H170" s="70"/>
      <c r="I170" s="96"/>
      <c r="J170" s="96"/>
      <c r="K170" s="96"/>
      <c r="L170" s="97"/>
      <c r="M170" s="179"/>
      <c r="N170" s="179"/>
      <c r="O170" s="179"/>
      <c r="P170" s="179"/>
      <c r="Q170" s="179"/>
      <c r="R170" s="179"/>
      <c r="S170" s="96"/>
      <c r="T170" s="97"/>
      <c r="U170" s="88"/>
      <c r="V170" s="70"/>
      <c r="W170" s="2"/>
      <c r="X170" s="6"/>
      <c r="Y170" s="6"/>
    </row>
    <row r="171" spans="1:27" ht="18">
      <c r="A171" s="74"/>
      <c r="B171" s="74"/>
      <c r="C171" s="74"/>
      <c r="D171" s="74"/>
      <c r="E171" s="74"/>
      <c r="F171" s="70" t="s">
        <v>137</v>
      </c>
      <c r="G171" s="70"/>
      <c r="H171" s="70"/>
      <c r="I171" s="96"/>
      <c r="J171" s="96"/>
      <c r="K171" s="96"/>
      <c r="L171" s="97"/>
      <c r="M171" s="179"/>
      <c r="N171" s="179"/>
      <c r="O171" s="179"/>
      <c r="P171" s="179"/>
      <c r="Q171" s="179"/>
      <c r="R171" s="179"/>
      <c r="S171" s="96"/>
      <c r="T171" s="97"/>
      <c r="U171" s="88"/>
      <c r="V171" s="70"/>
      <c r="W171" s="6"/>
    </row>
    <row r="172" spans="1:27" ht="18">
      <c r="A172" s="74"/>
      <c r="B172" s="74"/>
      <c r="C172" s="74"/>
      <c r="D172" s="77"/>
      <c r="E172" s="74"/>
      <c r="F172" s="70"/>
      <c r="G172" s="77"/>
      <c r="H172" s="77"/>
      <c r="I172" s="96"/>
      <c r="J172" s="96"/>
      <c r="K172" s="97"/>
      <c r="L172" s="97"/>
      <c r="M172" s="97"/>
      <c r="N172" s="97"/>
      <c r="O172" s="97"/>
      <c r="P172" s="97"/>
      <c r="Q172" s="97"/>
      <c r="R172" s="97"/>
      <c r="S172" s="96"/>
      <c r="T172" s="97"/>
      <c r="U172" s="88"/>
      <c r="V172" s="70"/>
      <c r="X172" s="2"/>
    </row>
    <row r="173" spans="1:27" ht="18">
      <c r="A173" s="74"/>
      <c r="B173" s="74"/>
      <c r="C173" s="74"/>
      <c r="D173" s="74"/>
      <c r="E173" s="74"/>
      <c r="F173" s="51"/>
      <c r="G173" s="74"/>
      <c r="H173" s="74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89"/>
      <c r="T173" s="89"/>
      <c r="U173" s="88"/>
      <c r="V173" s="70"/>
      <c r="W173" s="6"/>
    </row>
    <row r="174" spans="1:27" ht="15.75">
      <c r="A174" s="74"/>
      <c r="B174" s="74"/>
      <c r="C174" s="74"/>
      <c r="D174" s="74"/>
      <c r="E174" s="74"/>
      <c r="F174" s="51"/>
      <c r="G174" s="74"/>
      <c r="H174" s="74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89"/>
      <c r="T174" s="89"/>
      <c r="U174" s="88"/>
      <c r="V174" s="75"/>
    </row>
    <row r="175" spans="1:27">
      <c r="A175" s="74"/>
      <c r="B175" s="74"/>
      <c r="C175" s="74"/>
      <c r="D175" s="74"/>
      <c r="E175" s="74"/>
      <c r="G175" s="74"/>
      <c r="H175" s="74"/>
      <c r="I175" s="75"/>
      <c r="J175" s="180"/>
      <c r="K175" s="180"/>
      <c r="L175" s="180"/>
      <c r="M175" s="180"/>
      <c r="N175" s="180"/>
      <c r="O175" s="180"/>
      <c r="P175" s="180"/>
      <c r="Q175" s="180"/>
      <c r="R175" s="180"/>
      <c r="S175" s="89"/>
      <c r="T175" s="89"/>
      <c r="U175" s="88"/>
      <c r="V175" s="75"/>
      <c r="X175" s="6"/>
    </row>
    <row r="176" spans="1:27">
      <c r="J176" s="92"/>
      <c r="K176" s="92"/>
      <c r="L176" s="92"/>
      <c r="M176" s="92"/>
      <c r="N176" s="92"/>
      <c r="O176" s="92"/>
      <c r="P176" s="92"/>
      <c r="Q176" s="92"/>
      <c r="R176" s="92"/>
      <c r="S176" s="88"/>
      <c r="T176" s="88"/>
      <c r="U176" s="88"/>
      <c r="V176" s="7"/>
      <c r="Z176" s="88"/>
    </row>
    <row r="177" spans="6:27" ht="18.75" thickBot="1">
      <c r="F177" s="79"/>
      <c r="J177" s="92"/>
      <c r="K177" s="92"/>
      <c r="L177" s="92"/>
      <c r="M177" s="92"/>
      <c r="N177" s="92"/>
      <c r="O177" s="92"/>
      <c r="P177" s="92"/>
      <c r="Q177" s="92"/>
      <c r="R177" s="92"/>
      <c r="S177" s="175"/>
      <c r="T177" s="88"/>
      <c r="U177" s="88"/>
      <c r="V177" s="7"/>
      <c r="X177" s="6"/>
      <c r="Z177" s="88"/>
    </row>
    <row r="178" spans="6:27" ht="18">
      <c r="F178" s="70" t="s">
        <v>138</v>
      </c>
      <c r="J178" s="92"/>
      <c r="K178" s="92"/>
      <c r="L178" s="92"/>
      <c r="M178" s="92"/>
      <c r="N178" s="92"/>
      <c r="O178" s="92"/>
      <c r="P178" s="92"/>
      <c r="Q178" s="92"/>
      <c r="R178" s="92"/>
      <c r="S178" s="88"/>
      <c r="T178" s="88"/>
      <c r="U178" s="88"/>
      <c r="V178" s="7"/>
      <c r="X178" s="6"/>
      <c r="Z178" s="88"/>
    </row>
    <row r="179" spans="6:27" ht="18">
      <c r="F179" s="70" t="s">
        <v>139</v>
      </c>
      <c r="J179" s="180"/>
      <c r="K179" s="180"/>
      <c r="L179" s="180"/>
      <c r="M179" s="180"/>
      <c r="N179" s="180"/>
      <c r="O179" s="180"/>
      <c r="P179" s="180"/>
      <c r="Q179" s="180"/>
      <c r="R179" s="180"/>
      <c r="S179" s="88"/>
      <c r="T179" s="88"/>
      <c r="U179" s="88"/>
      <c r="V179" s="7"/>
      <c r="Z179" s="88"/>
    </row>
    <row r="180" spans="6:27" ht="18">
      <c r="F180" s="70"/>
      <c r="J180" s="92"/>
      <c r="K180" s="180"/>
      <c r="L180" s="180"/>
      <c r="M180" s="180"/>
      <c r="N180" s="180"/>
      <c r="O180" s="180"/>
      <c r="P180" s="180"/>
      <c r="Q180" s="180"/>
      <c r="R180" s="180"/>
      <c r="S180" s="88"/>
      <c r="T180" s="88"/>
      <c r="U180" s="88"/>
      <c r="V180" s="7"/>
      <c r="Z180" s="88"/>
    </row>
    <row r="181" spans="6:27">
      <c r="J181" s="92"/>
      <c r="K181" s="92"/>
      <c r="L181" s="92"/>
      <c r="M181" s="92"/>
      <c r="N181" s="92"/>
      <c r="O181" s="92"/>
      <c r="P181" s="92"/>
      <c r="Q181" s="92"/>
      <c r="R181" s="92"/>
      <c r="S181" s="88"/>
      <c r="T181" s="88"/>
      <c r="U181" s="88"/>
      <c r="V181" s="7"/>
      <c r="X181" s="6"/>
      <c r="Z181" s="6"/>
      <c r="AA181" s="6"/>
    </row>
    <row r="182" spans="6:27">
      <c r="J182" s="92"/>
      <c r="K182" s="92"/>
      <c r="L182" s="92"/>
      <c r="M182" s="92"/>
      <c r="N182" s="92"/>
      <c r="O182" s="92"/>
      <c r="P182" s="92"/>
      <c r="Q182" s="92"/>
      <c r="R182" s="92"/>
      <c r="S182" s="88"/>
      <c r="T182" s="88"/>
      <c r="U182" s="88"/>
      <c r="V182" s="7"/>
      <c r="X182" s="88"/>
    </row>
    <row r="183" spans="6:27">
      <c r="J183" s="92"/>
      <c r="K183" s="92"/>
      <c r="L183" s="92"/>
      <c r="M183" s="92"/>
      <c r="N183" s="92"/>
      <c r="O183" s="92"/>
      <c r="P183" s="92"/>
      <c r="Q183" s="92"/>
      <c r="R183" s="92"/>
      <c r="S183" s="88"/>
      <c r="T183" s="88"/>
      <c r="U183" s="88"/>
      <c r="V183" s="7"/>
      <c r="Z183" s="6"/>
    </row>
    <row r="184" spans="6:27">
      <c r="J184" s="92"/>
      <c r="K184" s="92"/>
      <c r="L184" s="92"/>
      <c r="M184" s="92"/>
      <c r="N184" s="92"/>
      <c r="O184" s="92"/>
      <c r="P184" s="92"/>
      <c r="Q184" s="92"/>
      <c r="R184" s="92"/>
      <c r="S184" s="88"/>
      <c r="T184" s="88"/>
      <c r="U184" s="88"/>
      <c r="V184" s="7"/>
    </row>
    <row r="185" spans="6:27">
      <c r="J185" s="92"/>
      <c r="K185" s="92"/>
      <c r="L185" s="92"/>
      <c r="M185" s="92"/>
      <c r="N185" s="92"/>
      <c r="O185" s="92"/>
      <c r="P185" s="92"/>
      <c r="Q185" s="92"/>
      <c r="R185" s="92"/>
      <c r="S185" s="88"/>
      <c r="T185" s="88"/>
      <c r="U185" s="88"/>
      <c r="V185" s="7"/>
    </row>
    <row r="186" spans="6:27">
      <c r="J186" s="92"/>
      <c r="K186" s="92"/>
      <c r="L186" s="92"/>
      <c r="M186" s="92"/>
      <c r="N186" s="92"/>
      <c r="O186" s="92"/>
      <c r="P186" s="92"/>
      <c r="Q186" s="92"/>
      <c r="R186" s="92"/>
      <c r="S186" s="88"/>
      <c r="T186" s="88"/>
      <c r="U186" s="88"/>
      <c r="V186" s="7"/>
      <c r="X186" s="6"/>
    </row>
    <row r="187" spans="6:27">
      <c r="J187" s="92"/>
      <c r="K187" s="92"/>
      <c r="L187" s="92"/>
      <c r="M187" s="92"/>
      <c r="N187" s="92"/>
      <c r="O187" s="92"/>
      <c r="P187" s="92"/>
      <c r="Q187" s="92"/>
      <c r="R187" s="92"/>
      <c r="S187" s="88"/>
      <c r="T187" s="88"/>
      <c r="U187" s="88"/>
      <c r="V187" s="7"/>
      <c r="W187" s="88"/>
      <c r="X187" s="6"/>
    </row>
    <row r="188" spans="6:27">
      <c r="J188" s="92"/>
      <c r="K188" s="92"/>
      <c r="L188" s="92"/>
      <c r="M188" s="92"/>
      <c r="N188" s="92"/>
      <c r="O188" s="92"/>
      <c r="P188" s="92"/>
      <c r="Q188" s="92"/>
      <c r="R188" s="92"/>
      <c r="S188" s="88"/>
      <c r="T188" s="88"/>
      <c r="U188" s="88"/>
      <c r="V188" s="7"/>
    </row>
    <row r="189" spans="6:27">
      <c r="J189" s="92"/>
      <c r="K189" s="92"/>
      <c r="L189" s="92"/>
      <c r="M189" s="92"/>
      <c r="N189" s="92"/>
      <c r="O189" s="92"/>
      <c r="P189" s="92"/>
      <c r="Q189" s="92"/>
      <c r="R189" s="92"/>
      <c r="S189" s="88"/>
      <c r="T189" s="88"/>
      <c r="U189" s="88"/>
      <c r="V189" s="7"/>
    </row>
    <row r="190" spans="6:27">
      <c r="J190" s="92"/>
      <c r="K190" s="92"/>
      <c r="L190" s="92"/>
      <c r="M190" s="92"/>
      <c r="N190" s="92"/>
      <c r="O190" s="92"/>
      <c r="P190" s="92"/>
      <c r="Q190" s="92"/>
      <c r="R190" s="92"/>
      <c r="S190" s="88"/>
      <c r="T190" s="88"/>
      <c r="U190" s="88"/>
      <c r="V190" s="7"/>
    </row>
    <row r="191" spans="6:27">
      <c r="J191" s="92"/>
      <c r="K191" s="92"/>
      <c r="L191" s="92"/>
      <c r="M191" s="92"/>
      <c r="N191" s="92"/>
      <c r="O191" s="92"/>
      <c r="P191" s="92"/>
      <c r="Q191" s="92"/>
      <c r="R191" s="92"/>
      <c r="S191" s="88"/>
      <c r="T191" s="88"/>
      <c r="U191" s="88"/>
      <c r="V191" s="7"/>
    </row>
    <row r="192" spans="6:27">
      <c r="J192" s="92"/>
      <c r="K192" s="92"/>
      <c r="L192" s="92"/>
      <c r="M192" s="92"/>
      <c r="N192" s="92"/>
      <c r="O192" s="92"/>
      <c r="P192" s="92"/>
      <c r="Q192" s="92"/>
      <c r="R192" s="92"/>
      <c r="S192" s="88"/>
      <c r="T192" s="88"/>
      <c r="U192" s="88"/>
      <c r="V192" s="7"/>
    </row>
    <row r="193" spans="10:22">
      <c r="J193" s="92"/>
      <c r="K193" s="92"/>
      <c r="L193" s="92"/>
      <c r="M193" s="92"/>
      <c r="N193" s="92"/>
      <c r="O193" s="92"/>
      <c r="P193" s="92"/>
      <c r="Q193" s="92"/>
      <c r="R193" s="92"/>
      <c r="S193" s="88"/>
      <c r="T193" s="88"/>
      <c r="U193" s="88"/>
      <c r="V193" s="7"/>
    </row>
    <row r="194" spans="10:22">
      <c r="J194" s="92"/>
      <c r="K194" s="92"/>
      <c r="L194" s="92"/>
      <c r="M194" s="92"/>
      <c r="N194" s="92"/>
      <c r="O194" s="92"/>
      <c r="P194" s="92"/>
      <c r="Q194" s="92"/>
      <c r="R194" s="92"/>
      <c r="S194" s="88"/>
      <c r="T194" s="88"/>
      <c r="U194" s="88"/>
      <c r="V194" s="7"/>
    </row>
    <row r="195" spans="10:22">
      <c r="J195" s="92"/>
      <c r="K195" s="92"/>
      <c r="L195" s="92"/>
      <c r="M195" s="92"/>
      <c r="N195" s="92"/>
      <c r="O195" s="92"/>
      <c r="P195" s="92"/>
      <c r="Q195" s="92"/>
      <c r="R195" s="92"/>
      <c r="S195" s="88"/>
      <c r="T195" s="88"/>
      <c r="U195" s="88"/>
      <c r="V195" s="7"/>
    </row>
    <row r="196" spans="10:22">
      <c r="J196" s="92"/>
      <c r="K196" s="92"/>
      <c r="L196" s="92"/>
      <c r="M196" s="92"/>
      <c r="N196" s="92"/>
      <c r="O196" s="92"/>
      <c r="P196" s="92"/>
      <c r="Q196" s="92"/>
      <c r="R196" s="92"/>
      <c r="S196" s="88"/>
      <c r="T196" s="88"/>
      <c r="U196" s="88"/>
      <c r="V196" s="7"/>
    </row>
    <row r="197" spans="10:22">
      <c r="J197" s="92"/>
      <c r="K197" s="92"/>
      <c r="L197" s="92"/>
      <c r="M197" s="92"/>
      <c r="N197" s="92"/>
      <c r="O197" s="92"/>
      <c r="P197" s="92"/>
      <c r="Q197" s="92"/>
      <c r="R197" s="92"/>
      <c r="S197" s="88"/>
      <c r="T197" s="88"/>
      <c r="U197" s="88"/>
      <c r="V197" s="7"/>
    </row>
    <row r="198" spans="10:22">
      <c r="J198" s="92"/>
      <c r="K198" s="92"/>
      <c r="L198" s="92"/>
      <c r="M198" s="92"/>
      <c r="N198" s="92"/>
      <c r="O198" s="92"/>
      <c r="P198" s="92"/>
      <c r="Q198" s="92"/>
      <c r="R198" s="92"/>
      <c r="S198" s="88"/>
      <c r="T198" s="88"/>
      <c r="U198" s="88"/>
      <c r="V198" s="7"/>
    </row>
    <row r="199" spans="10:22">
      <c r="J199" s="92"/>
      <c r="K199" s="92"/>
      <c r="L199" s="92"/>
      <c r="M199" s="92"/>
      <c r="N199" s="92"/>
      <c r="O199" s="92"/>
      <c r="P199" s="92"/>
      <c r="Q199" s="92"/>
      <c r="R199" s="92"/>
      <c r="S199" s="88"/>
      <c r="T199" s="88"/>
      <c r="U199" s="88"/>
      <c r="V199" s="7"/>
    </row>
    <row r="200" spans="10:22">
      <c r="J200" s="92"/>
      <c r="K200" s="92"/>
      <c r="L200" s="92"/>
      <c r="M200" s="92"/>
      <c r="N200" s="92"/>
      <c r="O200" s="92"/>
      <c r="P200" s="92"/>
      <c r="Q200" s="92"/>
      <c r="R200" s="92"/>
      <c r="S200" s="88"/>
      <c r="T200" s="88"/>
      <c r="U200" s="88"/>
      <c r="V200" s="7"/>
    </row>
    <row r="201" spans="10:22">
      <c r="J201" s="92"/>
      <c r="K201" s="92"/>
      <c r="L201" s="92"/>
      <c r="M201" s="92"/>
      <c r="N201" s="92"/>
      <c r="O201" s="92"/>
      <c r="P201" s="92"/>
      <c r="Q201" s="92"/>
      <c r="R201" s="92"/>
      <c r="S201" s="88"/>
      <c r="T201" s="88"/>
      <c r="U201" s="88"/>
      <c r="V201" s="7"/>
    </row>
    <row r="202" spans="10:22">
      <c r="J202" s="92"/>
      <c r="K202" s="92"/>
      <c r="L202" s="92"/>
      <c r="M202" s="92"/>
      <c r="N202" s="92"/>
      <c r="O202" s="92"/>
      <c r="P202" s="92"/>
      <c r="Q202" s="92"/>
      <c r="R202" s="92"/>
      <c r="S202" s="88"/>
      <c r="T202" s="88"/>
      <c r="U202" s="88"/>
      <c r="V202" s="7"/>
    </row>
    <row r="203" spans="10:22">
      <c r="J203" s="92"/>
      <c r="K203" s="92"/>
      <c r="L203" s="92"/>
      <c r="M203" s="92"/>
      <c r="N203" s="92"/>
      <c r="O203" s="92"/>
      <c r="P203" s="92"/>
      <c r="Q203" s="92"/>
      <c r="R203" s="92"/>
      <c r="S203" s="88"/>
      <c r="T203" s="88"/>
      <c r="U203" s="88"/>
      <c r="V203" s="7"/>
    </row>
    <row r="204" spans="10:22">
      <c r="J204" s="92"/>
      <c r="K204" s="92"/>
      <c r="L204" s="92"/>
      <c r="M204" s="92"/>
      <c r="N204" s="92"/>
      <c r="O204" s="92"/>
      <c r="P204" s="92"/>
      <c r="Q204" s="92"/>
      <c r="R204" s="92"/>
      <c r="S204" s="88"/>
      <c r="T204" s="88"/>
      <c r="U204" s="88"/>
      <c r="V204" s="7"/>
    </row>
    <row r="205" spans="10:22">
      <c r="J205" s="92"/>
      <c r="K205" s="92"/>
      <c r="L205" s="92"/>
      <c r="M205" s="92"/>
      <c r="N205" s="92"/>
      <c r="O205" s="92"/>
      <c r="P205" s="92"/>
      <c r="Q205" s="92"/>
      <c r="R205" s="92"/>
      <c r="S205" s="88"/>
      <c r="T205" s="88"/>
      <c r="U205" s="88"/>
      <c r="V205" s="7"/>
    </row>
    <row r="206" spans="10:22">
      <c r="J206" s="92"/>
      <c r="K206" s="92"/>
      <c r="L206" s="92"/>
      <c r="M206" s="92"/>
      <c r="N206" s="92"/>
      <c r="O206" s="92"/>
      <c r="P206" s="92"/>
      <c r="Q206" s="92"/>
      <c r="R206" s="92"/>
      <c r="S206" s="88"/>
      <c r="T206" s="88"/>
      <c r="U206" s="88"/>
      <c r="V206" s="7"/>
    </row>
    <row r="207" spans="10:22">
      <c r="J207" s="92"/>
      <c r="K207" s="92"/>
      <c r="L207" s="92"/>
      <c r="M207" s="92"/>
      <c r="N207" s="92"/>
      <c r="O207" s="92"/>
      <c r="P207" s="92"/>
      <c r="Q207" s="92"/>
      <c r="R207" s="92"/>
      <c r="S207" s="88"/>
      <c r="T207" s="88"/>
      <c r="U207" s="88"/>
      <c r="V207" s="7"/>
    </row>
    <row r="208" spans="10:22">
      <c r="J208" s="92"/>
      <c r="K208" s="92"/>
      <c r="L208" s="92"/>
      <c r="M208" s="92"/>
      <c r="N208" s="92"/>
      <c r="O208" s="92"/>
      <c r="P208" s="92"/>
      <c r="Q208" s="92"/>
      <c r="R208" s="92"/>
      <c r="S208" s="88"/>
      <c r="T208" s="88"/>
      <c r="U208" s="88"/>
      <c r="V208" s="7"/>
    </row>
    <row r="209" spans="10:22">
      <c r="J209" s="92"/>
      <c r="K209" s="92"/>
      <c r="L209" s="92"/>
      <c r="M209" s="92"/>
      <c r="N209" s="92"/>
      <c r="O209" s="92"/>
      <c r="P209" s="92"/>
      <c r="Q209" s="92"/>
      <c r="R209" s="92"/>
      <c r="S209" s="88"/>
      <c r="T209" s="88"/>
      <c r="U209" s="88"/>
      <c r="V209" s="7"/>
    </row>
    <row r="210" spans="10:22">
      <c r="J210" s="92"/>
      <c r="K210" s="92"/>
      <c r="L210" s="92"/>
      <c r="M210" s="92"/>
      <c r="N210" s="92"/>
      <c r="O210" s="92"/>
      <c r="P210" s="92"/>
      <c r="Q210" s="92"/>
      <c r="R210" s="92"/>
      <c r="S210" s="88"/>
      <c r="T210" s="88"/>
      <c r="U210" s="88"/>
      <c r="V210" s="7"/>
    </row>
    <row r="211" spans="10:22">
      <c r="J211" s="92"/>
      <c r="K211" s="92"/>
      <c r="L211" s="92"/>
      <c r="M211" s="92"/>
      <c r="N211" s="92"/>
      <c r="O211" s="92"/>
      <c r="P211" s="92"/>
      <c r="Q211" s="92"/>
      <c r="R211" s="92"/>
      <c r="S211" s="88"/>
      <c r="T211" s="88"/>
      <c r="U211" s="88"/>
      <c r="V211" s="7"/>
    </row>
    <row r="212" spans="10:22">
      <c r="J212" s="92"/>
      <c r="K212" s="92"/>
      <c r="L212" s="92"/>
      <c r="M212" s="92"/>
      <c r="N212" s="92"/>
      <c r="O212" s="92"/>
      <c r="P212" s="92"/>
      <c r="Q212" s="92"/>
      <c r="R212" s="92"/>
      <c r="S212" s="88"/>
      <c r="T212" s="88"/>
      <c r="U212" s="88"/>
      <c r="V212" s="7"/>
    </row>
    <row r="213" spans="10:22">
      <c r="J213" s="92"/>
      <c r="K213" s="92"/>
      <c r="L213" s="92"/>
      <c r="M213" s="92"/>
      <c r="N213" s="92"/>
      <c r="O213" s="92"/>
      <c r="P213" s="92"/>
      <c r="Q213" s="92"/>
      <c r="R213" s="92"/>
      <c r="S213" s="88"/>
      <c r="T213" s="88"/>
      <c r="U213" s="88"/>
      <c r="V213" s="7"/>
    </row>
    <row r="214" spans="10:22">
      <c r="J214" s="92"/>
      <c r="K214" s="92"/>
      <c r="L214" s="92"/>
      <c r="M214" s="92"/>
      <c r="N214" s="92"/>
      <c r="O214" s="92"/>
      <c r="P214" s="92"/>
      <c r="Q214" s="92"/>
      <c r="R214" s="92"/>
      <c r="S214" s="88"/>
      <c r="T214" s="88"/>
      <c r="U214" s="88"/>
      <c r="V214" s="7"/>
    </row>
    <row r="215" spans="10:22">
      <c r="J215" s="92"/>
      <c r="K215" s="92"/>
      <c r="L215" s="92"/>
      <c r="M215" s="92"/>
      <c r="N215" s="92"/>
      <c r="O215" s="92"/>
      <c r="P215" s="92"/>
      <c r="Q215" s="92"/>
      <c r="R215" s="92"/>
      <c r="S215" s="88"/>
      <c r="T215" s="88"/>
      <c r="U215" s="88"/>
      <c r="V215" s="7"/>
    </row>
    <row r="216" spans="10:22">
      <c r="J216" s="92"/>
      <c r="K216" s="92"/>
      <c r="L216" s="92"/>
      <c r="M216" s="92"/>
      <c r="N216" s="92"/>
      <c r="O216" s="92"/>
      <c r="P216" s="92"/>
      <c r="Q216" s="92"/>
      <c r="R216" s="92"/>
      <c r="S216" s="88"/>
      <c r="T216" s="88"/>
      <c r="U216" s="88"/>
      <c r="V216" s="7"/>
    </row>
    <row r="217" spans="10:22">
      <c r="J217" s="92"/>
      <c r="K217" s="92"/>
      <c r="L217" s="92"/>
      <c r="M217" s="92"/>
      <c r="N217" s="92"/>
      <c r="O217" s="92"/>
      <c r="P217" s="92"/>
      <c r="Q217" s="92"/>
      <c r="R217" s="92"/>
      <c r="S217" s="88"/>
      <c r="T217" s="88"/>
      <c r="U217" s="88"/>
      <c r="V217" s="7"/>
    </row>
    <row r="218" spans="10:22">
      <c r="J218" s="92"/>
      <c r="K218" s="92"/>
      <c r="L218" s="92"/>
      <c r="M218" s="92"/>
      <c r="N218" s="92"/>
      <c r="O218" s="92"/>
      <c r="P218" s="92"/>
      <c r="Q218" s="92"/>
      <c r="R218" s="92"/>
      <c r="S218" s="88"/>
      <c r="T218" s="88"/>
      <c r="U218" s="88"/>
      <c r="V218" s="7"/>
    </row>
    <row r="219" spans="10:22">
      <c r="J219" s="92"/>
      <c r="K219" s="92"/>
      <c r="L219" s="92"/>
      <c r="M219" s="92"/>
      <c r="N219" s="92"/>
      <c r="O219" s="92"/>
      <c r="P219" s="92"/>
      <c r="Q219" s="92"/>
      <c r="R219" s="92"/>
      <c r="S219" s="88"/>
      <c r="T219" s="88"/>
      <c r="U219" s="88"/>
      <c r="V219" s="7"/>
    </row>
    <row r="220" spans="10:22">
      <c r="J220" s="92"/>
      <c r="K220" s="92"/>
      <c r="L220" s="92"/>
      <c r="M220" s="92"/>
      <c r="N220" s="92"/>
      <c r="O220" s="92"/>
      <c r="P220" s="92"/>
      <c r="Q220" s="92"/>
      <c r="R220" s="92"/>
      <c r="S220" s="88"/>
      <c r="T220" s="88"/>
      <c r="U220" s="88"/>
      <c r="V220" s="7"/>
    </row>
    <row r="221" spans="10:22">
      <c r="J221" s="92"/>
      <c r="K221" s="92"/>
      <c r="L221" s="92"/>
      <c r="M221" s="92"/>
      <c r="N221" s="92"/>
      <c r="O221" s="92"/>
      <c r="P221" s="92"/>
      <c r="Q221" s="92"/>
      <c r="R221" s="92"/>
      <c r="S221" s="88"/>
      <c r="T221" s="88"/>
      <c r="U221" s="88"/>
      <c r="V221" s="7"/>
    </row>
    <row r="222" spans="10:22">
      <c r="J222" s="92"/>
      <c r="K222" s="92"/>
      <c r="L222" s="92"/>
      <c r="M222" s="92"/>
      <c r="N222" s="92"/>
      <c r="O222" s="92"/>
      <c r="P222" s="92"/>
      <c r="Q222" s="92"/>
      <c r="R222" s="92"/>
      <c r="S222" s="88"/>
      <c r="T222" s="88"/>
      <c r="U222" s="88"/>
      <c r="V222" s="7"/>
    </row>
    <row r="223" spans="10:22">
      <c r="J223" s="92"/>
      <c r="K223" s="92"/>
      <c r="L223" s="92"/>
      <c r="M223" s="92"/>
      <c r="N223" s="92"/>
      <c r="O223" s="92"/>
      <c r="P223" s="92"/>
      <c r="Q223" s="92"/>
      <c r="R223" s="92"/>
      <c r="S223" s="88"/>
      <c r="T223" s="88"/>
      <c r="U223" s="88"/>
      <c r="V223" s="7"/>
    </row>
    <row r="224" spans="10:22">
      <c r="J224" s="92"/>
      <c r="K224" s="92"/>
      <c r="L224" s="92"/>
      <c r="M224" s="92"/>
      <c r="N224" s="92"/>
      <c r="O224" s="92"/>
      <c r="P224" s="92"/>
      <c r="Q224" s="92"/>
      <c r="R224" s="92"/>
      <c r="S224" s="88"/>
      <c r="T224" s="88"/>
      <c r="U224" s="88"/>
      <c r="V224" s="7"/>
    </row>
    <row r="225" spans="10:22">
      <c r="J225" s="92"/>
      <c r="K225" s="92"/>
      <c r="L225" s="92"/>
      <c r="M225" s="92"/>
      <c r="N225" s="92"/>
      <c r="O225" s="92"/>
      <c r="P225" s="92"/>
      <c r="Q225" s="92"/>
      <c r="R225" s="92"/>
      <c r="S225" s="88"/>
      <c r="T225" s="88"/>
      <c r="U225" s="88"/>
      <c r="V225" s="7"/>
    </row>
    <row r="226" spans="10:22">
      <c r="J226" s="92"/>
      <c r="K226" s="92"/>
      <c r="L226" s="92"/>
      <c r="M226" s="92"/>
      <c r="N226" s="92"/>
      <c r="O226" s="92"/>
      <c r="P226" s="92"/>
      <c r="Q226" s="92"/>
      <c r="R226" s="92"/>
      <c r="S226" s="88"/>
      <c r="T226" s="88"/>
      <c r="U226" s="88"/>
      <c r="V226" s="7"/>
    </row>
    <row r="227" spans="10:22">
      <c r="J227" s="92"/>
      <c r="K227" s="92"/>
      <c r="L227" s="92"/>
      <c r="M227" s="92"/>
      <c r="N227" s="92"/>
      <c r="O227" s="92"/>
      <c r="P227" s="92"/>
      <c r="Q227" s="92"/>
      <c r="R227" s="92"/>
      <c r="S227" s="88"/>
      <c r="T227" s="88"/>
      <c r="U227" s="88"/>
      <c r="V227" s="88"/>
    </row>
    <row r="228" spans="10:22">
      <c r="J228" s="92"/>
      <c r="K228" s="92"/>
      <c r="L228" s="92"/>
      <c r="M228" s="92"/>
      <c r="N228" s="92"/>
      <c r="O228" s="92"/>
      <c r="P228" s="92"/>
      <c r="Q228" s="92"/>
      <c r="R228" s="92"/>
      <c r="S228" s="88"/>
      <c r="T228" s="88"/>
      <c r="U228" s="88"/>
      <c r="V228" s="88"/>
    </row>
    <row r="229" spans="10:22">
      <c r="J229" s="92"/>
      <c r="K229" s="92"/>
      <c r="L229" s="92"/>
      <c r="M229" s="92"/>
      <c r="N229" s="92"/>
      <c r="O229" s="92"/>
      <c r="P229" s="92"/>
      <c r="Q229" s="92"/>
      <c r="R229" s="92"/>
      <c r="S229" s="88"/>
      <c r="T229" s="88"/>
      <c r="U229" s="88"/>
      <c r="V229" s="88"/>
    </row>
    <row r="230" spans="10:22">
      <c r="J230" s="92"/>
      <c r="K230" s="92"/>
      <c r="L230" s="92"/>
      <c r="M230" s="92"/>
      <c r="N230" s="92"/>
      <c r="O230" s="92"/>
      <c r="P230" s="92"/>
      <c r="Q230" s="92"/>
      <c r="R230" s="92"/>
      <c r="S230" s="88"/>
      <c r="T230" s="88"/>
      <c r="U230" s="88"/>
      <c r="V230" s="88"/>
    </row>
    <row r="231" spans="10:22">
      <c r="J231" s="92"/>
      <c r="K231" s="92"/>
      <c r="L231" s="92"/>
      <c r="M231" s="92"/>
      <c r="N231" s="92"/>
      <c r="O231" s="92"/>
      <c r="P231" s="92"/>
      <c r="Q231" s="92"/>
      <c r="R231" s="92"/>
      <c r="S231" s="88"/>
      <c r="T231" s="88"/>
      <c r="U231" s="88"/>
      <c r="V231" s="88"/>
    </row>
    <row r="232" spans="10:22">
      <c r="J232" s="92"/>
      <c r="K232" s="92"/>
      <c r="L232" s="92"/>
      <c r="M232" s="92"/>
      <c r="N232" s="92"/>
      <c r="O232" s="92"/>
      <c r="P232" s="92"/>
      <c r="Q232" s="92"/>
      <c r="R232" s="92"/>
      <c r="S232" s="88"/>
      <c r="T232" s="88"/>
      <c r="U232" s="88"/>
      <c r="V232" s="88"/>
    </row>
    <row r="233" spans="10:22">
      <c r="J233" s="92"/>
      <c r="K233" s="92"/>
      <c r="L233" s="92"/>
      <c r="M233" s="92"/>
      <c r="N233" s="92"/>
      <c r="O233" s="92"/>
      <c r="P233" s="92"/>
      <c r="Q233" s="92"/>
      <c r="R233" s="92"/>
      <c r="S233" s="88"/>
      <c r="T233" s="88"/>
      <c r="U233" s="88"/>
      <c r="V233" s="88"/>
    </row>
    <row r="234" spans="10:22">
      <c r="J234" s="92"/>
      <c r="K234" s="92"/>
      <c r="L234" s="92"/>
      <c r="M234" s="92"/>
      <c r="N234" s="92"/>
      <c r="O234" s="92"/>
      <c r="P234" s="92"/>
      <c r="Q234" s="92"/>
      <c r="R234" s="92"/>
      <c r="S234" s="88"/>
      <c r="T234" s="88"/>
      <c r="U234" s="88"/>
      <c r="V234" s="88"/>
    </row>
    <row r="235" spans="10:22">
      <c r="J235" s="92"/>
      <c r="K235" s="92"/>
      <c r="L235" s="92"/>
      <c r="M235" s="92"/>
      <c r="N235" s="92"/>
      <c r="O235" s="92"/>
      <c r="P235" s="92"/>
      <c r="Q235" s="92"/>
      <c r="R235" s="92"/>
      <c r="S235" s="88"/>
      <c r="T235" s="88"/>
      <c r="U235" s="88"/>
      <c r="V235" s="88"/>
    </row>
    <row r="236" spans="10:22">
      <c r="J236" s="92"/>
      <c r="K236" s="92"/>
      <c r="L236" s="92"/>
      <c r="M236" s="92"/>
      <c r="N236" s="92"/>
      <c r="O236" s="92"/>
      <c r="P236" s="92"/>
      <c r="Q236" s="92"/>
      <c r="R236" s="92"/>
      <c r="S236" s="88"/>
      <c r="T236" s="88"/>
      <c r="U236" s="88"/>
      <c r="V236" s="88"/>
    </row>
    <row r="237" spans="10:22">
      <c r="J237" s="92"/>
      <c r="K237" s="92"/>
      <c r="L237" s="92"/>
      <c r="M237" s="92"/>
      <c r="N237" s="92"/>
      <c r="O237" s="92"/>
      <c r="P237" s="92"/>
      <c r="Q237" s="92"/>
      <c r="R237" s="92"/>
      <c r="S237" s="88"/>
      <c r="T237" s="88"/>
      <c r="U237" s="88"/>
      <c r="V237" s="88"/>
    </row>
    <row r="238" spans="10:22">
      <c r="J238" s="92"/>
      <c r="K238" s="92"/>
      <c r="L238" s="92"/>
      <c r="M238" s="92"/>
      <c r="N238" s="92"/>
      <c r="O238" s="92"/>
      <c r="P238" s="92"/>
      <c r="Q238" s="92"/>
      <c r="R238" s="92"/>
      <c r="S238" s="88"/>
      <c r="T238" s="88"/>
      <c r="U238" s="88"/>
      <c r="V238" s="88"/>
    </row>
    <row r="239" spans="10:22">
      <c r="J239" s="92"/>
      <c r="K239" s="92"/>
      <c r="L239" s="92"/>
      <c r="M239" s="92"/>
      <c r="N239" s="92"/>
      <c r="O239" s="92"/>
      <c r="P239" s="92"/>
      <c r="Q239" s="92"/>
      <c r="R239" s="92"/>
      <c r="S239" s="88"/>
      <c r="T239" s="88"/>
      <c r="U239" s="88"/>
      <c r="V239" s="88"/>
    </row>
    <row r="240" spans="10:22">
      <c r="J240" s="92"/>
      <c r="K240" s="92"/>
      <c r="L240" s="92"/>
      <c r="M240" s="92"/>
      <c r="N240" s="92"/>
      <c r="O240" s="92"/>
      <c r="P240" s="92"/>
      <c r="Q240" s="92"/>
      <c r="R240" s="92"/>
      <c r="S240" s="88"/>
      <c r="T240" s="88"/>
      <c r="U240" s="88"/>
      <c r="V240" s="88"/>
    </row>
    <row r="241" spans="10:22">
      <c r="J241" s="92"/>
      <c r="K241" s="92"/>
      <c r="L241" s="92"/>
      <c r="M241" s="92"/>
      <c r="N241" s="92"/>
      <c r="O241" s="92"/>
      <c r="P241" s="92"/>
      <c r="Q241" s="92"/>
      <c r="R241" s="92"/>
      <c r="S241" s="88"/>
      <c r="T241" s="88"/>
      <c r="U241" s="88"/>
      <c r="V241" s="88"/>
    </row>
    <row r="242" spans="10:22">
      <c r="J242" s="92"/>
      <c r="K242" s="92"/>
      <c r="L242" s="92"/>
      <c r="M242" s="92"/>
      <c r="N242" s="92"/>
      <c r="O242" s="92"/>
      <c r="P242" s="92"/>
      <c r="Q242" s="92"/>
      <c r="R242" s="92"/>
      <c r="S242" s="88"/>
      <c r="T242" s="88"/>
      <c r="U242" s="88"/>
      <c r="V242" s="88"/>
    </row>
    <row r="243" spans="10:22">
      <c r="J243" s="92"/>
      <c r="K243" s="92"/>
      <c r="L243" s="92"/>
      <c r="M243" s="92"/>
      <c r="N243" s="92"/>
      <c r="O243" s="92"/>
      <c r="P243" s="92"/>
      <c r="Q243" s="92"/>
      <c r="R243" s="92"/>
      <c r="S243" s="88"/>
      <c r="T243" s="88"/>
      <c r="U243" s="88"/>
      <c r="V243" s="88"/>
    </row>
    <row r="244" spans="10:22">
      <c r="J244" s="92"/>
      <c r="K244" s="92"/>
      <c r="L244" s="92"/>
      <c r="M244" s="92"/>
      <c r="N244" s="92"/>
      <c r="O244" s="92"/>
      <c r="P244" s="92"/>
      <c r="Q244" s="92"/>
      <c r="R244" s="92"/>
      <c r="S244" s="88"/>
      <c r="T244" s="88"/>
      <c r="U244" s="88"/>
      <c r="V244" s="88"/>
    </row>
    <row r="245" spans="10:22">
      <c r="J245" s="92"/>
      <c r="K245" s="92"/>
      <c r="L245" s="92"/>
      <c r="M245" s="92"/>
      <c r="N245" s="92"/>
      <c r="O245" s="92"/>
      <c r="P245" s="92"/>
      <c r="Q245" s="92"/>
      <c r="R245" s="92"/>
      <c r="S245" s="88"/>
      <c r="T245" s="88"/>
      <c r="U245" s="88"/>
      <c r="V245" s="88"/>
    </row>
    <row r="246" spans="10:22">
      <c r="J246" s="92"/>
      <c r="K246" s="92"/>
      <c r="L246" s="92"/>
      <c r="M246" s="92"/>
      <c r="N246" s="92"/>
      <c r="O246" s="92"/>
      <c r="P246" s="92"/>
      <c r="Q246" s="92"/>
      <c r="R246" s="92"/>
      <c r="S246" s="88"/>
      <c r="T246" s="88"/>
      <c r="U246" s="88"/>
      <c r="V246" s="88"/>
    </row>
    <row r="247" spans="10:22">
      <c r="J247" s="92"/>
      <c r="K247" s="92"/>
      <c r="L247" s="92"/>
      <c r="M247" s="92"/>
      <c r="N247" s="92"/>
      <c r="O247" s="92"/>
      <c r="P247" s="92"/>
      <c r="Q247" s="92"/>
      <c r="R247" s="92"/>
      <c r="S247" s="88"/>
      <c r="T247" s="88"/>
      <c r="U247" s="88"/>
      <c r="V247" s="88"/>
    </row>
    <row r="248" spans="10:22">
      <c r="J248" s="92"/>
      <c r="K248" s="92"/>
      <c r="L248" s="92"/>
      <c r="M248" s="92"/>
      <c r="N248" s="92"/>
      <c r="O248" s="92"/>
      <c r="P248" s="92"/>
      <c r="Q248" s="92"/>
      <c r="R248" s="92"/>
      <c r="S248" s="88"/>
      <c r="T248" s="88"/>
      <c r="U248" s="88"/>
      <c r="V248" s="88"/>
    </row>
    <row r="249" spans="10:22">
      <c r="J249" s="92"/>
      <c r="K249" s="92"/>
      <c r="L249" s="92"/>
      <c r="M249" s="92"/>
      <c r="N249" s="92"/>
      <c r="O249" s="92"/>
      <c r="P249" s="92"/>
      <c r="Q249" s="92"/>
      <c r="R249" s="92"/>
      <c r="S249" s="88"/>
      <c r="T249" s="88"/>
      <c r="U249" s="88"/>
      <c r="V249" s="88"/>
    </row>
    <row r="250" spans="10:22">
      <c r="J250" s="92"/>
      <c r="K250" s="92"/>
      <c r="L250" s="92"/>
      <c r="M250" s="92"/>
      <c r="N250" s="92"/>
      <c r="O250" s="92"/>
      <c r="P250" s="92"/>
      <c r="Q250" s="92"/>
      <c r="R250" s="92"/>
      <c r="S250" s="88"/>
      <c r="T250" s="88"/>
      <c r="U250" s="88"/>
      <c r="V250" s="88"/>
    </row>
    <row r="251" spans="10:22">
      <c r="J251" s="92"/>
      <c r="K251" s="92"/>
      <c r="L251" s="92"/>
      <c r="M251" s="92"/>
      <c r="N251" s="92"/>
      <c r="O251" s="92"/>
      <c r="P251" s="92"/>
      <c r="Q251" s="92"/>
      <c r="R251" s="92"/>
      <c r="S251" s="88"/>
      <c r="T251" s="88"/>
      <c r="U251" s="88"/>
      <c r="V251" s="88"/>
    </row>
  </sheetData>
  <mergeCells count="4">
    <mergeCell ref="A5:S5"/>
    <mergeCell ref="A6:S6"/>
    <mergeCell ref="A7:S7"/>
    <mergeCell ref="A9:E9"/>
  </mergeCells>
  <phoneticPr fontId="15" type="noConversion"/>
  <pageMargins left="0.11811023622047245" right="0.11811023622047245" top="0.74803149606299213" bottom="0.74803149606299213" header="0.31496062992125984" footer="0.31496062992125984"/>
  <pageSetup paperSize="5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2023</vt:lpstr>
      <vt:lpstr>'OCTUBRE 2023'!Área_de_impresión</vt:lpstr>
      <vt:lpstr>'OCTUBRE 2023'!Títulos_a_imprimir</vt:lpstr>
    </vt:vector>
  </TitlesOfParts>
  <Company>PUCMM - CSTA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eacevedo@ces.gob.do</cp:lastModifiedBy>
  <cp:lastPrinted>2022-11-01T15:48:07Z</cp:lastPrinted>
  <dcterms:created xsi:type="dcterms:W3CDTF">2019-09-09T17:15:41Z</dcterms:created>
  <dcterms:modified xsi:type="dcterms:W3CDTF">2023-11-24T15:46:48Z</dcterms:modified>
</cp:coreProperties>
</file>